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mc:AlternateContent xmlns:mc="http://schemas.openxmlformats.org/markup-compatibility/2006">
    <mc:Choice Requires="x15">
      <x15ac:absPath xmlns:x15ac="http://schemas.microsoft.com/office/spreadsheetml/2010/11/ac" url="C:\Users\l_tan\Documents\Year 3 uni\EE317\"/>
    </mc:Choice>
  </mc:AlternateContent>
  <xr:revisionPtr revIDLastSave="0" documentId="13_ncr:1_{3A04BC71-98D0-4456-BF0B-608BD67FD01F}" xr6:coauthVersionLast="47" xr6:coauthVersionMax="47" xr10:uidLastSave="{00000000-0000-0000-0000-000000000000}"/>
  <bookViews>
    <workbookView xWindow="-110" yWindow="-110" windowWidth="19420" windowHeight="11020" firstSheet="1" activeTab="4" xr2:uid="{00000000-000D-0000-FFFF-FFFF00000000}"/>
  </bookViews>
  <sheets>
    <sheet name="1 Gross Flow" sheetId="2" r:id="rId1"/>
    <sheet name="2 References" sheetId="14" r:id="rId2"/>
    <sheet name="2 Correlate" sheetId="9" r:id="rId3"/>
    <sheet name="3 Design Flow" sheetId="10" r:id="rId4"/>
    <sheet name="4 Gross Head" sheetId="11" r:id="rId5"/>
    <sheet name="5 Pipe" sheetId="12" r:id="rId6"/>
    <sheet name="6 Turbine" sheetId="13" r:id="rId7"/>
  </sheets>
  <externalReferences>
    <externalReference r:id="rId8"/>
  </externalReferences>
  <definedNames>
    <definedName name="Aa" localSheetId="1">'[1]5 Pipe'!$F$39:$G$39</definedName>
    <definedName name="Aa">'5 Pipe'!$F$34:$M$34</definedName>
    <definedName name="Area">'1 Gross Flow'!$B$5</definedName>
    <definedName name="Atr">'5 Pipe'!$R$63</definedName>
    <definedName name="b" localSheetId="1">'[1]5 Pipe'!$F$44:$G$44</definedName>
    <definedName name="b">'5 Pipe'!$F$39:$M$39</definedName>
    <definedName name="Bb" localSheetId="1">'[1]5 Pipe'!$F$40:$G$40</definedName>
    <definedName name="Bb">'5 Pipe'!$F$35:$M$35</definedName>
    <definedName name="bg">'5 Pipe'!$R$65</definedName>
    <definedName name="Catchment_Area" localSheetId="0">'1 Gross Flow'!$B$28</definedName>
    <definedName name="Catchment_Area" localSheetId="2">'2 Correlate'!$B$27</definedName>
    <definedName name="Catchment_Area" localSheetId="1">'2 References'!$I$24</definedName>
    <definedName name="Catchment_AreaD">'2 References'!$E$24</definedName>
    <definedName name="Catchment_AreaK">'2 References'!$I$24</definedName>
    <definedName name="Cc" localSheetId="1">'[1]5 Pipe'!$F$41:$G$41</definedName>
    <definedName name="Cc">'5 Pipe'!$F$36:$M$36</definedName>
    <definedName name="comppercent" localSheetId="1">'[1]3 Design Flow'!$G$4</definedName>
    <definedName name="comppercent">'3 Design Flow'!$G$7</definedName>
    <definedName name="conversion">'1 Gross Flow'!$C$119</definedName>
    <definedName name="correction" localSheetId="0">'1 Gross Flow'!$C$119</definedName>
    <definedName name="correction" localSheetId="1">'2 References'!$I$34</definedName>
    <definedName name="d" localSheetId="1">'[1]5 Pipe'!$F$45:$G$45</definedName>
    <definedName name="d">'5 Pipe'!$F$40:$M$40</definedName>
    <definedName name="datpercent" localSheetId="1">'[1]1 Gross Flow'!#REF!</definedName>
    <definedName name="despercent">'3 Design Flow'!$G$16:$G$22</definedName>
    <definedName name="Dp" localSheetId="1">'[1]5 Pipe'!$F$12:$G$12</definedName>
    <definedName name="Dp">'5 Pipe'!$F$18:$M$18</definedName>
    <definedName name="eps" localSheetId="1">'[1]5 Pipe'!$E$19</definedName>
    <definedName name="eps">'5 Pipe'!$R$34</definedName>
    <definedName name="eps_Dp">'5 Pipe'!$F$31:$M$31</definedName>
    <definedName name="eta" localSheetId="0">'6 Turbine'!$R$18</definedName>
    <definedName name="eta" localSheetId="6">'6 Turbine'!$R$18</definedName>
    <definedName name="expercent" localSheetId="1">'[1]2 Correlate'!$G$9:$G$13</definedName>
    <definedName name="expercent">'2 Correlate'!$F$17:$F$21</definedName>
    <definedName name="expercentK" localSheetId="1">'2 References'!$B$86:$B$90</definedName>
    <definedName name="fbr">'5 Pipe'!$F$51:$M$51</definedName>
    <definedName name="fgs">'5 Pipe'!$F$45:$M$45</definedName>
    <definedName name="fh">'5 Pipe'!$F$47:$M$47</definedName>
    <definedName name="fr" localSheetId="0">'6 Turbine'!$R$11</definedName>
    <definedName name="fr" localSheetId="6">'6 Turbine'!$R$11</definedName>
    <definedName name="fs">'5 Pipe'!$F$37:$M$37</definedName>
    <definedName name="fsj">'5 Pipe'!$F$49:$M$49</definedName>
    <definedName name="g">'5 Pipe'!$R$21</definedName>
    <definedName name="gg" localSheetId="1">'[1]5 Pipe'!$F$48:$G$48</definedName>
    <definedName name="gg">'5 Pipe'!$F$43:$M$43</definedName>
    <definedName name="Gross_mean_flow" localSheetId="1">'2 References'!$I$35</definedName>
    <definedName name="Gross_mean_flowD">'2 References'!$E$35</definedName>
    <definedName name="Gross_mean_flowK">'2 References'!$I$35</definedName>
    <definedName name="hb">'5 Pipe'!$F$58:$M$58</definedName>
    <definedName name="hd">'5 Pipe'!$F$22:$M$22</definedName>
    <definedName name="hf">'5 Pipe'!$F$52:$M$52</definedName>
    <definedName name="hgr">'4 Gross Head'!$F$5:$M$5</definedName>
    <definedName name="hi">'5 Pipe'!$F$56:$M$56</definedName>
    <definedName name="hl">'5 Pipe'!$F$67:$M$67</definedName>
    <definedName name="hnet">'5 Pipe'!$F$70:$M$70</definedName>
    <definedName name="hs">'5 Pipe'!$F$26:$M$26</definedName>
    <definedName name="ht">'5 Pipe'!$F$59:$M$59</definedName>
    <definedName name="htr">'5 Pipe'!$F$64:$M$64</definedName>
    <definedName name="hturb">'6 Turbine'!$F$19:$M$19</definedName>
    <definedName name="hv">'5 Pipe'!$F$57:$M$57</definedName>
    <definedName name="icomp">'3 Design Flow'!$F$7</definedName>
    <definedName name="idat" localSheetId="1">'[1]1 Gross Flow'!#REF!</definedName>
    <definedName name="ides">'3 Design Flow'!$F$16:$F$22</definedName>
    <definedName name="iref" localSheetId="1">'[1]1 Gross Flow'!#REF!</definedName>
    <definedName name="ka" localSheetId="0">'5 Pipe'!$R$35</definedName>
    <definedName name="ka" localSheetId="5">'5 Pipe'!$R$35</definedName>
    <definedName name="kabr" localSheetId="1">'[1]1 Gross Flow'!$T$218</definedName>
    <definedName name="kabr">'1 Gross Flow'!$T$223</definedName>
    <definedName name="Kb">'5 Pipe'!$R$58</definedName>
    <definedName name="kbb" localSheetId="0">'5 Pipe'!$R$36</definedName>
    <definedName name="kbb" localSheetId="5">'5 Pipe'!$R$36</definedName>
    <definedName name="kbbb" localSheetId="0">'1 Gross Flow'!$T$219</definedName>
    <definedName name="kbbb" localSheetId="5">'1 Gross Flow'!$T$219</definedName>
    <definedName name="kbbbb" localSheetId="0">'1 Gross Flow'!$T$221</definedName>
    <definedName name="kbbbb" localSheetId="5">'1 Gross Flow'!$T$221</definedName>
    <definedName name="kbbr" localSheetId="1">'[1]1 Gross Flow'!$T$219</definedName>
    <definedName name="kbbr">'1 Gross Flow'!$T$224</definedName>
    <definedName name="kcbr" localSheetId="1">'[1]1 Gross Flow'!$T$220</definedName>
    <definedName name="kcbr">'1 Gross Flow'!$T$225</definedName>
    <definedName name="kdgs" localSheetId="1">'[1]1 Gross Flow'!$T$207</definedName>
    <definedName name="kdgs">'1 Gross Flow'!$T$212</definedName>
    <definedName name="ke" localSheetId="0">'1 Gross Flow'!$T$220</definedName>
    <definedName name="ke" localSheetId="5">'1 Gross Flow'!$T$220</definedName>
    <definedName name="kee" localSheetId="1">'[1]1 Gross Flow'!$T$217</definedName>
    <definedName name="kee">'1 Gross Flow'!$T$222</definedName>
    <definedName name="kh" localSheetId="0">'1 Gross Flow'!$T$218</definedName>
    <definedName name="kh" localSheetId="5">'1 Gross Flow'!$T$218</definedName>
    <definedName name="Ki">'5 Pipe'!$R$56</definedName>
    <definedName name="kmg" localSheetId="1">'2 References'!$I$41</definedName>
    <definedName name="kmgD" localSheetId="1">'2 References'!$E$41</definedName>
    <definedName name="kmgK" localSheetId="1">'2 References'!$I$41</definedName>
    <definedName name="Ktr">'5 Pipe'!$R$67</definedName>
    <definedName name="Kv">'5 Pipe'!$R$57</definedName>
    <definedName name="Ll">'4 Gross Head'!$F$14:$M$14</definedName>
    <definedName name="Lp">'4 Gross Head'!$F$21:$M$21</definedName>
    <definedName name="Lpp">'4 Gross Head'!$F$15:$M$15</definedName>
    <definedName name="Mean_Flow" localSheetId="1">'2 References'!$I$80</definedName>
    <definedName name="Mean_FlowD">'2 References'!$E$80</definedName>
    <definedName name="Mean_flowK">'2 References'!$I$80</definedName>
    <definedName name="mu" localSheetId="1">'[1]5 Pipe'!$L$35</definedName>
    <definedName name="mu">'5 Pipe'!$R$30</definedName>
    <definedName name="nb">'4 Gross Head'!$F$18:$M$18</definedName>
    <definedName name="ni" localSheetId="0">'5 Pipe'!#REF!</definedName>
    <definedName name="ni" localSheetId="6">'5 Pipe'!#REF!</definedName>
    <definedName name="nl" localSheetId="0">'6 Turbine'!$D$25:$D$37</definedName>
    <definedName name="nl" localSheetId="6">'6 Turbine'!$D$25:$D$37</definedName>
    <definedName name="np">'5 Pipe'!$F$23</definedName>
    <definedName name="Ns" localSheetId="0">'6 Turbine'!$F$21:$M$21</definedName>
    <definedName name="Ns" localSheetId="6">'6 Turbine'!$F$21:$M$21</definedName>
    <definedName name="nst" localSheetId="0">'5 Pipe'!#REF!</definedName>
    <definedName name="nst" localSheetId="6">'5 Pipe'!#REF!</definedName>
    <definedName name="Nsync" localSheetId="0">'6 Turbine'!$F$11:$M$11</definedName>
    <definedName name="Nsync" localSheetId="6">'6 Turbine'!$F$11:$M$11</definedName>
    <definedName name="Nt" localSheetId="0">'6 Turbine'!$F$17:$M$17</definedName>
    <definedName name="Nt" localSheetId="6">'6 Turbine'!$F$17:$M$17</definedName>
    <definedName name="nu" localSheetId="0">'6 Turbine'!$E$25:$E$37</definedName>
    <definedName name="nu" localSheetId="6">'6 Turbine'!$E$25:$E$37</definedName>
    <definedName name="percentcomp">'3 Design Flow'!$G$7</definedName>
    <definedName name="pg" localSheetId="0">'6 Turbine'!$F$10:$M$10</definedName>
    <definedName name="pg" localSheetId="6">'6 Turbine'!$F$10:$M$10</definedName>
    <definedName name="Pgr">'4 Gross Head'!$F$9:$M$9</definedName>
    <definedName name="Phyd">'6 Turbine'!#REF!</definedName>
    <definedName name="Pmin" localSheetId="0">'6 Turbine'!$C$25:$C$37</definedName>
    <definedName name="Pmin" localSheetId="6">'6 Turbine'!$C$25:$C$37</definedName>
    <definedName name="Prat" localSheetId="0">'6 Turbine'!$F$18:$M$18</definedName>
    <definedName name="Prat" localSheetId="6">'6 Turbine'!$F$18:$M$18</definedName>
    <definedName name="Ptotal" localSheetId="0">'5 Pipe'!$F$74:$M$74</definedName>
    <definedName name="Ptotal" localSheetId="6">'5 Pipe'!$F$74:$M$74</definedName>
    <definedName name="Q">'4 Gross Head'!$F$6:$M$6</definedName>
    <definedName name="Q.10" localSheetId="1">'2 References'!$I$89</definedName>
    <definedName name="Q.5" localSheetId="1">'2 References'!$I$90</definedName>
    <definedName name="Q.50" localSheetId="1">'2 References'!$I$88</definedName>
    <definedName name="Q.70" localSheetId="1">'2 References'!$I$87</definedName>
    <definedName name="Q.95" localSheetId="1">'2 References'!$I$86</definedName>
    <definedName name="Q05D">'2 References'!$E$90</definedName>
    <definedName name="Q05K">'2 References'!$I$90</definedName>
    <definedName name="Q10D">'2 References'!$E$89</definedName>
    <definedName name="Q10K">'2 References'!$I$89</definedName>
    <definedName name="Q50D">'2 References'!$E$88</definedName>
    <definedName name="Q50K">'2 References'!$I$88</definedName>
    <definedName name="Q70D">'2 References'!$E$87</definedName>
    <definedName name="Q70K">'2 References'!$I$87</definedName>
    <definedName name="Q95D">'2 References'!$E$86</definedName>
    <definedName name="Q95K">'2 References'!$I$86</definedName>
    <definedName name="Qcomp">'3 Design Flow'!$M$7</definedName>
    <definedName name="QcompD" localSheetId="1">'[1]3 Design Flow'!#REF!</definedName>
    <definedName name="QcompD">'3 Design Flow'!$I$7</definedName>
    <definedName name="QcompK">'3 Design Flow'!$M$7</definedName>
    <definedName name="Qdes" localSheetId="1">'[1]3 Design Flow'!$I$8</definedName>
    <definedName name="Qdes">'3 Design Flow'!$M$16</definedName>
    <definedName name="QdesD" localSheetId="1">'[1]3 Design Flow'!#REF!</definedName>
    <definedName name="QdesD">'3 Design Flow'!$I$16</definedName>
    <definedName name="QdesK">'3 Design Flow'!$M$16</definedName>
    <definedName name="QexCd">'2 Correlate'!$I$17:$I$21</definedName>
    <definedName name="QexCk">'2 Correlate'!$M$17:$M$21</definedName>
    <definedName name="QexD" localSheetId="1">'2 References'!$E$86:$E$90</definedName>
    <definedName name="QexK" localSheetId="1">'2 References'!$I$86:$I$90</definedName>
    <definedName name="Qgr">'1 Gross Flow'!$C$122</definedName>
    <definedName name="Qnet">'2 Correlate'!$M$11</definedName>
    <definedName name="QnetD">'2 Correlate'!$I$11</definedName>
    <definedName name="QnetK">'2 Correlate'!$M$11</definedName>
    <definedName name="QpcmeanD">'2 References'!$G$80</definedName>
    <definedName name="QpcmeanK">'2 References'!$K$80</definedName>
    <definedName name="QpercentD" localSheetId="1">'2 References'!$G$86:$G$90</definedName>
    <definedName name="QpercentK" localSheetId="1">'2 References'!$K$86:$K$90</definedName>
    <definedName name="qq" localSheetId="1">'[1]5 Pipe'!$F$47:$G$47</definedName>
    <definedName name="qq">'5 Pipe'!$F$42:$M$42</definedName>
    <definedName name="rainfall_intensity">'1 Gross Flow'!$C$106</definedName>
    <definedName name="Re" localSheetId="1">'[1]5 Pipe'!$F$35:$G$35</definedName>
    <definedName name="Re">'5 Pipe'!$F$30:$M$30</definedName>
    <definedName name="refpercent" localSheetId="1">'[1]1 Gross Flow'!#REF!</definedName>
    <definedName name="rg" localSheetId="0">'6 Turbine'!$F$14:$M$14</definedName>
    <definedName name="rg" localSheetId="6">'6 Turbine'!$F$14:$M$14</definedName>
    <definedName name="rho" localSheetId="1">'[1]5 Pipe'!$L$33</definedName>
    <definedName name="rho">'5 Pipe'!$R$22</definedName>
    <definedName name="s" localSheetId="1">'[1]5 Pipe'!$F$46:$G$46</definedName>
    <definedName name="s">'5 Pipe'!$F$41:$M$41</definedName>
    <definedName name="SAARD">'2 References'!$E$32</definedName>
    <definedName name="SAARK">'2 References'!$I$32</definedName>
    <definedName name="square_count" localSheetId="1">'[1]1 Gross Flow'!$C$101:$C$103</definedName>
    <definedName name="square_count">'1 Gross Flow'!$D$14:$D$21</definedName>
    <definedName name="square_count_1300">'1 Gross Flow'!$D$87:$D$94</definedName>
    <definedName name="square_count_1500">'1 Gross Flow'!$E$87:$E$94</definedName>
    <definedName name="square_count_1700">'1 Gross Flow'!$F$87:$F$94</definedName>
    <definedName name="square_count_rainfall">'1 Gross Flow'!$C$101:$C$103</definedName>
    <definedName name="square_fill">'1 Gross Flow'!$C$14:$C$21</definedName>
    <definedName name="square_fill_rainfall">'1 Gross Flow'!$C$87:$C$94</definedName>
    <definedName name="square_rainfall">'1 Gross Flow'!$B$101:$B$103</definedName>
    <definedName name="tb">'5 Pipe'!$R$64</definedName>
    <definedName name="thb">'5 Pipe'!$R$59</definedName>
    <definedName name="thtr">'5 Pipe'!$R$66</definedName>
    <definedName name="vp" localSheetId="1">'[1]5 Pipe'!$F$32:$G$32</definedName>
    <definedName name="vp">'5 Pipe'!$F$21:$M$21</definedName>
    <definedName name="vtr">'5 Pipe'!$F$63:$M$63</definedName>
    <definedName name="z" localSheetId="1">'[1]5 Pipe'!$F$49:$G$49</definedName>
    <definedName name="z">'5 Pipe'!$F$44:$M$44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7" i="9" l="1"/>
  <c r="I18" i="9"/>
  <c r="I19" i="9"/>
  <c r="I20" i="9"/>
  <c r="I21" i="9"/>
  <c r="L64" i="12"/>
  <c r="M64" i="12"/>
  <c r="K64" i="12"/>
  <c r="L11" i="13"/>
  <c r="M11" i="13"/>
  <c r="M17" i="13" s="1"/>
  <c r="K11" i="13"/>
  <c r="H11" i="13"/>
  <c r="I11" i="13"/>
  <c r="I17" i="13" s="1"/>
  <c r="G11" i="13"/>
  <c r="G17" i="13" s="1"/>
  <c r="H21" i="11"/>
  <c r="L21" i="11" s="1"/>
  <c r="L14" i="12" s="1"/>
  <c r="I21" i="11"/>
  <c r="G21" i="11"/>
  <c r="G14" i="12" s="1"/>
  <c r="M21" i="9"/>
  <c r="M20" i="9"/>
  <c r="M19" i="9"/>
  <c r="M16" i="10" s="1"/>
  <c r="M18" i="9"/>
  <c r="M17" i="9"/>
  <c r="M7" i="10" s="1"/>
  <c r="I16" i="10"/>
  <c r="I7" i="10"/>
  <c r="I11" i="9"/>
  <c r="M21" i="11"/>
  <c r="M14" i="12" s="1"/>
  <c r="I14" i="12"/>
  <c r="L17" i="13"/>
  <c r="K17" i="13"/>
  <c r="H17" i="13"/>
  <c r="M9" i="12"/>
  <c r="L9" i="12"/>
  <c r="K9" i="12"/>
  <c r="I9" i="12"/>
  <c r="H9" i="12"/>
  <c r="G9" i="12"/>
  <c r="H16" i="10"/>
  <c r="G16" i="10"/>
  <c r="F16" i="10"/>
  <c r="M11" i="9"/>
  <c r="M4" i="9"/>
  <c r="I4" i="9"/>
  <c r="K4" i="9"/>
  <c r="I41" i="14"/>
  <c r="E41" i="14"/>
  <c r="E35" i="14"/>
  <c r="I35" i="14"/>
  <c r="I32" i="14"/>
  <c r="E32" i="14"/>
  <c r="C122" i="2"/>
  <c r="C106" i="2"/>
  <c r="C103" i="2"/>
  <c r="C102" i="2"/>
  <c r="C101" i="2"/>
  <c r="D95" i="2"/>
  <c r="F95" i="2"/>
  <c r="E95" i="2"/>
  <c r="B28" i="2"/>
  <c r="D22" i="2"/>
  <c r="M6" i="11" l="1"/>
  <c r="M9" i="11" s="1"/>
  <c r="L6" i="11"/>
  <c r="K21" i="11"/>
  <c r="K14" i="12" s="1"/>
  <c r="H14" i="12"/>
  <c r="M11" i="12"/>
  <c r="M10" i="12"/>
  <c r="M21" i="12" s="1"/>
  <c r="L6" i="12"/>
  <c r="K6" i="11"/>
  <c r="K9" i="11" s="1"/>
  <c r="H6" i="12"/>
  <c r="H6" i="11"/>
  <c r="H9" i="11" s="1"/>
  <c r="G6" i="11"/>
  <c r="G9" i="11" s="1"/>
  <c r="I6" i="11"/>
  <c r="I9" i="11" s="1"/>
  <c r="K80" i="14"/>
  <c r="G80" i="14"/>
  <c r="L10" i="12" l="1"/>
  <c r="L21" i="12" s="1"/>
  <c r="L9" i="11"/>
  <c r="L11" i="12" s="1"/>
  <c r="L63" i="12"/>
  <c r="K63" i="12"/>
  <c r="M63" i="12"/>
  <c r="M22" i="12"/>
  <c r="M58" i="12"/>
  <c r="M56" i="12"/>
  <c r="M57" i="12"/>
  <c r="K10" i="12"/>
  <c r="K21" i="12" s="1"/>
  <c r="K11" i="12"/>
  <c r="I10" i="12"/>
  <c r="I21" i="12" s="1"/>
  <c r="I11" i="12"/>
  <c r="G10" i="12"/>
  <c r="G21" i="12" s="1"/>
  <c r="G56" i="12" s="1"/>
  <c r="G11" i="12"/>
  <c r="H10" i="12"/>
  <c r="H21" i="12" s="1"/>
  <c r="H22" i="12" s="1"/>
  <c r="H11" i="12"/>
  <c r="G63" i="12"/>
  <c r="I63" i="12"/>
  <c r="I64" i="12" s="1"/>
  <c r="H63" i="12"/>
  <c r="H64" i="12" s="1"/>
  <c r="H65" i="12" s="1"/>
  <c r="K90" i="14"/>
  <c r="L21" i="9" s="1"/>
  <c r="G90" i="14"/>
  <c r="H21" i="9" s="1"/>
  <c r="K89" i="14"/>
  <c r="L20" i="9" s="1"/>
  <c r="G89" i="14"/>
  <c r="H20" i="9" s="1"/>
  <c r="K88" i="14"/>
  <c r="L19" i="9" s="1"/>
  <c r="G88" i="14"/>
  <c r="H19" i="9" s="1"/>
  <c r="K87" i="14"/>
  <c r="L18" i="9" s="1"/>
  <c r="G87" i="14"/>
  <c r="H18" i="9" s="1"/>
  <c r="K86" i="14"/>
  <c r="L17" i="9" s="1"/>
  <c r="G86" i="14"/>
  <c r="H17" i="9" s="1"/>
  <c r="G64" i="12" l="1"/>
  <c r="G65" i="12" s="1"/>
  <c r="K65" i="12"/>
  <c r="L65" i="12"/>
  <c r="L22" i="12"/>
  <c r="L56" i="12"/>
  <c r="L58" i="12"/>
  <c r="L57" i="12"/>
  <c r="K57" i="12"/>
  <c r="K56" i="12"/>
  <c r="K22" i="12"/>
  <c r="K58" i="12"/>
  <c r="M59" i="12"/>
  <c r="M60" i="12" s="1"/>
  <c r="M65" i="12"/>
  <c r="I65" i="12"/>
  <c r="H56" i="12"/>
  <c r="H57" i="12"/>
  <c r="H58" i="12"/>
  <c r="G22" i="12"/>
  <c r="G58" i="12"/>
  <c r="G57" i="12"/>
  <c r="I58" i="12"/>
  <c r="I56" i="12"/>
  <c r="I22" i="12"/>
  <c r="I57" i="12"/>
  <c r="M39" i="12"/>
  <c r="L39" i="12"/>
  <c r="K39" i="12"/>
  <c r="J39" i="12"/>
  <c r="I39" i="12"/>
  <c r="H39" i="12"/>
  <c r="G39" i="12"/>
  <c r="F39" i="12"/>
  <c r="M31" i="12"/>
  <c r="L31" i="12"/>
  <c r="K31" i="12"/>
  <c r="J31" i="12"/>
  <c r="I31" i="12"/>
  <c r="H31" i="12"/>
  <c r="G31" i="12"/>
  <c r="F31" i="12"/>
  <c r="L59" i="12" l="1"/>
  <c r="L60" i="12" s="1"/>
  <c r="K59" i="12"/>
  <c r="K60" i="12" s="1"/>
  <c r="I59" i="12"/>
  <c r="I60" i="12" s="1"/>
  <c r="H59" i="12"/>
  <c r="H60" i="12" s="1"/>
  <c r="G59" i="12"/>
  <c r="G60" i="12" s="1"/>
  <c r="F7" i="10"/>
  <c r="F30" i="12" l="1"/>
  <c r="I30" i="12" l="1"/>
  <c r="I40" i="12" s="1"/>
  <c r="M30" i="12"/>
  <c r="K30" i="12"/>
  <c r="J30" i="12"/>
  <c r="L30" i="12"/>
  <c r="G30" i="12"/>
  <c r="G47" i="12" s="1"/>
  <c r="H30" i="12"/>
  <c r="H49" i="12" s="1"/>
  <c r="F51" i="12"/>
  <c r="F49" i="12"/>
  <c r="F47" i="12"/>
  <c r="F40" i="12"/>
  <c r="F34" i="12"/>
  <c r="I49" i="12" l="1"/>
  <c r="G51" i="12"/>
  <c r="I51" i="12"/>
  <c r="I34" i="12"/>
  <c r="I35" i="12" s="1"/>
  <c r="I36" i="12" s="1"/>
  <c r="I47" i="12"/>
  <c r="G34" i="12"/>
  <c r="G35" i="12" s="1"/>
  <c r="G36" i="12" s="1"/>
  <c r="G37" i="12" s="1"/>
  <c r="G52" i="12" s="1"/>
  <c r="G40" i="12"/>
  <c r="G41" i="12" s="1"/>
  <c r="G42" i="12" s="1"/>
  <c r="G43" i="12" s="1"/>
  <c r="G49" i="12"/>
  <c r="H51" i="12"/>
  <c r="H47" i="12"/>
  <c r="L51" i="12"/>
  <c r="L34" i="12"/>
  <c r="L47" i="12"/>
  <c r="L40" i="12"/>
  <c r="L49" i="12"/>
  <c r="K51" i="12"/>
  <c r="K34" i="12"/>
  <c r="K47" i="12"/>
  <c r="K40" i="12"/>
  <c r="K49" i="12"/>
  <c r="J40" i="12"/>
  <c r="J49" i="12"/>
  <c r="J47" i="12"/>
  <c r="J51" i="12"/>
  <c r="J34" i="12"/>
  <c r="M49" i="12"/>
  <c r="M51" i="12"/>
  <c r="M34" i="12"/>
  <c r="M47" i="12"/>
  <c r="M40" i="12"/>
  <c r="M41" i="12" s="1"/>
  <c r="M42" i="12" s="1"/>
  <c r="H40" i="12"/>
  <c r="H41" i="12" s="1"/>
  <c r="H42" i="12" s="1"/>
  <c r="H34" i="12"/>
  <c r="H35" i="12" s="1"/>
  <c r="H36" i="12" s="1"/>
  <c r="I41" i="12"/>
  <c r="I42" i="12" s="1"/>
  <c r="I43" i="12" s="1"/>
  <c r="F41" i="12"/>
  <c r="F42" i="12" s="1"/>
  <c r="F43" i="12" s="1"/>
  <c r="F35" i="12"/>
  <c r="F36" i="12" s="1"/>
  <c r="G53" i="12" l="1"/>
  <c r="G67" i="12"/>
  <c r="G70" i="12" s="1"/>
  <c r="L41" i="12"/>
  <c r="L42" i="12" s="1"/>
  <c r="L43" i="12" s="1"/>
  <c r="L44" i="12" s="1"/>
  <c r="L45" i="12" s="1"/>
  <c r="J35" i="12"/>
  <c r="J36" i="12" s="1"/>
  <c r="J41" i="12"/>
  <c r="J42" i="12" s="1"/>
  <c r="J43" i="12" s="1"/>
  <c r="J44" i="12" s="1"/>
  <c r="J45" i="12" s="1"/>
  <c r="K35" i="12"/>
  <c r="K36" i="12" s="1"/>
  <c r="M43" i="12"/>
  <c r="M44" i="12" s="1"/>
  <c r="M45" i="12" s="1"/>
  <c r="M35" i="12"/>
  <c r="M36" i="12" s="1"/>
  <c r="L35" i="12"/>
  <c r="L36" i="12" s="1"/>
  <c r="K41" i="12"/>
  <c r="K42" i="12" s="1"/>
  <c r="K43" i="12" s="1"/>
  <c r="K44" i="12" s="1"/>
  <c r="K45" i="12" s="1"/>
  <c r="F37" i="12"/>
  <c r="H37" i="12"/>
  <c r="H52" i="12" s="1"/>
  <c r="F44" i="12"/>
  <c r="F45" i="12" s="1"/>
  <c r="I37" i="12"/>
  <c r="I52" i="12" s="1"/>
  <c r="H43" i="12"/>
  <c r="H44" i="12" s="1"/>
  <c r="H45" i="12" s="1"/>
  <c r="G44" i="12"/>
  <c r="G45" i="12" s="1"/>
  <c r="I44" i="12"/>
  <c r="I45" i="12" s="1"/>
  <c r="I53" i="12" l="1"/>
  <c r="I67" i="12"/>
  <c r="I70" i="12" s="1"/>
  <c r="H53" i="12"/>
  <c r="H67" i="12"/>
  <c r="H70" i="12" s="1"/>
  <c r="G18" i="13"/>
  <c r="G5" i="13"/>
  <c r="G74" i="12"/>
  <c r="G6" i="13" s="1"/>
  <c r="L37" i="12"/>
  <c r="L52" i="12" s="1"/>
  <c r="J37" i="12"/>
  <c r="M37" i="12"/>
  <c r="M52" i="12" s="1"/>
  <c r="K37" i="12"/>
  <c r="K52" i="12" s="1"/>
  <c r="G21" i="13" l="1"/>
  <c r="L53" i="12"/>
  <c r="L67" i="12"/>
  <c r="L70" i="12" s="1"/>
  <c r="K67" i="12"/>
  <c r="K70" i="12" s="1"/>
  <c r="K53" i="12"/>
  <c r="M53" i="12"/>
  <c r="M67" i="12"/>
  <c r="M70" i="12" s="1"/>
  <c r="H5" i="13"/>
  <c r="H74" i="12"/>
  <c r="H6" i="13" s="1"/>
  <c r="H18" i="13"/>
  <c r="I5" i="13"/>
  <c r="I74" i="12"/>
  <c r="I6" i="13" s="1"/>
  <c r="I18" i="13"/>
  <c r="I21" i="13" l="1"/>
  <c r="M18" i="13"/>
  <c r="M74" i="12"/>
  <c r="M6" i="13" s="1"/>
  <c r="M5" i="13"/>
  <c r="L5" i="13"/>
  <c r="L18" i="13"/>
  <c r="L74" i="12"/>
  <c r="L6" i="13" s="1"/>
  <c r="K18" i="13"/>
  <c r="K5" i="13"/>
  <c r="K74" i="12"/>
  <c r="K6" i="13" s="1"/>
  <c r="H21" i="13"/>
  <c r="K21" i="13" l="1"/>
  <c r="L21" i="13"/>
  <c r="M21" i="13"/>
</calcChain>
</file>

<file path=xl/sharedStrings.xml><?xml version="1.0" encoding="utf-8"?>
<sst xmlns="http://schemas.openxmlformats.org/spreadsheetml/2006/main" count="616" uniqueCount="405">
  <si>
    <t>Grid Reference:</t>
  </si>
  <si>
    <t>NS293487</t>
  </si>
  <si>
    <t>Hydrometric Area:</t>
  </si>
  <si>
    <t>83 - Irvine and Ayr</t>
  </si>
  <si>
    <t>Catchment Area:</t>
  </si>
  <si>
    <t>Measuring Authority (local station number):</t>
  </si>
  <si>
    <t>Scottish Environment Protection Agency - South West (N/A)</t>
  </si>
  <si>
    <t>Station Level:</t>
  </si>
  <si>
    <t>19.1 m AOD</t>
  </si>
  <si>
    <t>Station Operating Period:</t>
  </si>
  <si>
    <t>01/1963 - 12/1977</t>
  </si>
  <si>
    <t>Station Summary Description:</t>
  </si>
  <si>
    <t>A velocity-area station downstream of the Muirhead and Camphill Reservoirs.</t>
  </si>
  <si>
    <t>NHMP Index Site:</t>
  </si>
  <si>
    <t>No</t>
  </si>
  <si>
    <t>General Description:</t>
  </si>
  <si>
    <t>River section 0.8km d/s of Dalry.</t>
  </si>
  <si>
    <t>Hydrometric Description:</t>
  </si>
  <si>
    <t>Flow Regime Description:</t>
  </si>
  <si>
    <t>Runoff substantially reduced by PWS exports from u/s reservoirs.</t>
  </si>
  <si>
    <t>Station Type:</t>
  </si>
  <si>
    <t>Velocity-area</t>
  </si>
  <si>
    <t>Sensitivity:</t>
  </si>
  <si>
    <t>Period of Record:</t>
  </si>
  <si>
    <t>Percent Complete:</t>
  </si>
  <si>
    <t>Base Flow Index:</t>
  </si>
  <si>
    <t>Mean Flow:</t>
  </si>
  <si>
    <t>Catchment Description:</t>
  </si>
  <si>
    <t>Minimum altitude:</t>
  </si>
  <si>
    <t>mAOD</t>
  </si>
  <si>
    <t>10 percentile:</t>
  </si>
  <si>
    <t>50 percentile:</t>
  </si>
  <si>
    <t>90 percentile:</t>
  </si>
  <si>
    <t>Maximum altitude:</t>
  </si>
  <si>
    <t>NGR</t>
  </si>
  <si>
    <t>Area</t>
  </si>
  <si>
    <t>Caaf Water at Lynn Spout</t>
  </si>
  <si>
    <t>NS 28000 48050</t>
  </si>
  <si>
    <t>SAAR 1941-1970:</t>
  </si>
  <si>
    <t>SAAR 1961-1990:</t>
  </si>
  <si>
    <t>PROPWET:</t>
  </si>
  <si>
    <t>DPSBAR:</t>
  </si>
  <si>
    <t>m / km</t>
  </si>
  <si>
    <t>BFIHOST:</t>
  </si>
  <si>
    <t>FARL:</t>
  </si>
  <si>
    <t>83009 - Garnock at Kilwinning</t>
  </si>
  <si>
    <t>NS306424</t>
  </si>
  <si>
    <t>Scottish Environment Protection Agency - South West (133101)</t>
  </si>
  <si>
    <t>4.4 m AOD</t>
  </si>
  <si>
    <t>01/1976 - N/A</t>
  </si>
  <si>
    <t>River section with long round-crested masonry weir (with central rectangular notch) acting as the control. All flows contained. Exceptionally high tides may influence water levels. No gaugings below 0.6 cumecs and weir deterioration means that flows below 2.0 cumecs should be treated with extreme caution. Stage measurements are subject to further uncertainty since August 2009 due to issues with subsidence and vandalism.</t>
  </si>
  <si>
    <t>Very responsive catchment notwithstanding several reservoirs (including Muirhead and Camphill) in the headwaters - small net diminution in runoff.</t>
  </si>
  <si>
    <t>1978 - 2019</t>
  </si>
  <si>
    <t>&gt;99 %</t>
  </si>
  <si>
    <t>High permeability bedrock:</t>
  </si>
  <si>
    <t>%</t>
  </si>
  <si>
    <t>Moderate permeability bedrock:</t>
  </si>
  <si>
    <t>Very low permeability bedrock:</t>
  </si>
  <si>
    <t>Mixed permeability bedrock:</t>
  </si>
  <si>
    <t>Generally high permeability superficial deposits:</t>
  </si>
  <si>
    <t>Generally low permeability superficial deposits:</t>
  </si>
  <si>
    <t>Mixed permeability superficial deposits:</t>
  </si>
  <si>
    <t>Rugged upland headwaters (peat and Boulder Clay overlying igneous formations), mostly Carboniferous sediments covered by superficial deposits in lower catchment. Mainly rural with urbanisation along main valley at Kilbirnie, Dalry and Kilwinning; some forestry.</t>
  </si>
  <si>
    <t>A velocity-area station in a very responsive catchment with stage measurement uncertainty since August 2009.</t>
  </si>
  <si>
    <t>m3/s</t>
  </si>
  <si>
    <t>m^3/s</t>
  </si>
  <si>
    <t>Woodland:</t>
  </si>
  <si>
    <t>Arable / horticultural:</t>
  </si>
  <si>
    <t>Grassland:</t>
  </si>
  <si>
    <t>Mountain / Heath / Bog:</t>
  </si>
  <si>
    <t>Urban extent:</t>
  </si>
  <si>
    <t>Any reservoirs or lakes within a catchment will tend to have some effect on flood response, but it is those directly linked to the stream network that are most likely to produce an attenuation effect. The Flood Attenuation by Reservoirs and Lakes (FARL) index, developed for the Flood Estimation Handbook, provides a guide to the degree of flood attenuation attributable to reservoirs and lakes in the catchment above a gauging station. Values close to unity indicate the absence of attenuation due to lakes and reservoirs whereas index values below 0.8 indicate a substantial influence on flood response.</t>
  </si>
  <si>
    <t>This base flow index is a measure of catchment responsiveness derived using the 29-class Hydrology Of Soil Types (HOST) classificationREF2. The HOST dataset is available as a 1km grid which records, for each grid square, the percentage associated with each HOST class present. Using IHDTM boundaries for each gauged catchment, the soil characteristics of the catchment can be indexed and by exploiting the relationship between soil typologies and runoff response an aggregated assessment of BFIHOST for the catchment can be derived.</t>
  </si>
  <si>
    <t>Note: there is a strong general association between BFIHOST and the Baseflow Index derived using the hydrograph separation approach, but no close equivalence can be expected where the natural flow regime is substantially disturbed e.g. by compensation flows or major augmentation from sewage effluent.</t>
  </si>
  <si>
    <t>The estimate of the base flow index (BFI) based on the Hydrology of Soil Types (HOST) classification, BFIHOST, provides a measure of catchment responsiveness. The new BFIHOST19 descriptor addresses a number of issues in the original BFIHOST developed in 1995, including:</t>
  </si>
  <si>
    <t xml:space="preserve">    the BFI calculated through base flow separation tended to be underestimated in clay-dominated catchments,</t>
  </si>
  <si>
    <t xml:space="preserve">    the calculation technique performed poorly in ephemeral catchments or those with missing data, and</t>
  </si>
  <si>
    <t xml:space="preserve">    the pragmatic bounding of BFI coefficients for permeable soils overlying aquifer outcrops was also problematic for small catchments.</t>
  </si>
  <si>
    <t>This landform descriptor (mean Drainage Path Slope) provides an index of overall catchment steepness. It was developed for the Flood Estimation Handbook and is calculated as the mean of all inter-nodal slopes (derived using the IHDTM) for the catchment. The index is expressed in metres per kilometre with values ranging from &gt;300 in mountainous terrain to &lt;25 in the flattest parts of the country.</t>
  </si>
  <si>
    <t>Dry soils tend to inhibit flood formation whilst, in contrast, saturated soil conditions precede and contribute to many large flood events. This catchment wetness index (PROPortion of time soils are WET), developed for the Flood Estimation Handbook, provides a measure of the proportion of time that catchment soils are defined as wet (in this context, when soil moisture deficits are less than 6mm). PROPWET values range from over 80% in the wettest catchments to less than 20% in the driest parts of the country.</t>
  </si>
  <si>
    <t>Gross mean flow</t>
  </si>
  <si>
    <t xml:space="preserve"> km^2</t>
  </si>
  <si>
    <t>SAAR</t>
  </si>
  <si>
    <t>correction</t>
  </si>
  <si>
    <t>km^2</t>
  </si>
  <si>
    <t>mm/yr</t>
  </si>
  <si>
    <t>Estimated from counting squares:</t>
  </si>
  <si>
    <t>Catchment Area</t>
  </si>
  <si>
    <t>square count</t>
  </si>
  <si>
    <t>estimated mean rainfall intensity</t>
  </si>
  <si>
    <t>ks/yr</t>
  </si>
  <si>
    <t>estimated annual gross mean flow</t>
  </si>
  <si>
    <t>estimated annual nett mean flow</t>
  </si>
  <si>
    <t>m</t>
  </si>
  <si>
    <t>estimated gross power available</t>
  </si>
  <si>
    <t>water density</t>
  </si>
  <si>
    <t>kg/m^3</t>
  </si>
  <si>
    <t>Exceedence</t>
  </si>
  <si>
    <t>design flow</t>
  </si>
  <si>
    <t>Gross head</t>
  </si>
  <si>
    <t>hgr</t>
  </si>
  <si>
    <t>Flow Rate</t>
  </si>
  <si>
    <t>Q</t>
  </si>
  <si>
    <t>Lp</t>
  </si>
  <si>
    <t>Dp</t>
  </si>
  <si>
    <t>Pipe roughness height</t>
  </si>
  <si>
    <t>eps</t>
  </si>
  <si>
    <t>number of bends</t>
  </si>
  <si>
    <t>nb</t>
  </si>
  <si>
    <t>Trash rack</t>
  </si>
  <si>
    <t>m^2</t>
  </si>
  <si>
    <t>Atr</t>
  </si>
  <si>
    <t>bar thickness</t>
  </si>
  <si>
    <t>tb</t>
  </si>
  <si>
    <t>gap width</t>
  </si>
  <si>
    <t>bg</t>
  </si>
  <si>
    <t>angle</t>
  </si>
  <si>
    <t>°</t>
  </si>
  <si>
    <t>thtr</t>
  </si>
  <si>
    <t>bar shape coefficient</t>
  </si>
  <si>
    <t>Ktr</t>
  </si>
  <si>
    <t>Turbine efficiency</t>
  </si>
  <si>
    <t>eta</t>
  </si>
  <si>
    <t>rg</t>
  </si>
  <si>
    <t>Mains frequency</t>
  </si>
  <si>
    <t>Hz</t>
  </si>
  <si>
    <t>fr</t>
  </si>
  <si>
    <t>number of gen pole pairs</t>
  </si>
  <si>
    <t>pg</t>
  </si>
  <si>
    <t>Turbine Setting loss</t>
  </si>
  <si>
    <t>hs</t>
  </si>
  <si>
    <t>flow speed</t>
  </si>
  <si>
    <t>m/s</t>
  </si>
  <si>
    <t>vp</t>
  </si>
  <si>
    <t>dynamic head</t>
  </si>
  <si>
    <t>hd</t>
  </si>
  <si>
    <t>Reynold's Number</t>
  </si>
  <si>
    <t>Re</t>
  </si>
  <si>
    <t>relative roughness</t>
  </si>
  <si>
    <t>eps/Dp</t>
  </si>
  <si>
    <t>Pipe friction factor</t>
  </si>
  <si>
    <t>b</t>
  </si>
  <si>
    <t>d</t>
  </si>
  <si>
    <t>s</t>
  </si>
  <si>
    <t>qq</t>
  </si>
  <si>
    <t>gg</t>
  </si>
  <si>
    <t>z</t>
  </si>
  <si>
    <t>Goudar-Sonnad</t>
  </si>
  <si>
    <t>fgs</t>
  </si>
  <si>
    <t>Aa</t>
  </si>
  <si>
    <t>Bb</t>
  </si>
  <si>
    <t>Cc</t>
  </si>
  <si>
    <t>fs</t>
  </si>
  <si>
    <t>Haaland</t>
  </si>
  <si>
    <t>fh</t>
  </si>
  <si>
    <t>Swamee-Jain</t>
  </si>
  <si>
    <t>fsj</t>
  </si>
  <si>
    <t>Brkic</t>
  </si>
  <si>
    <t>fbr</t>
  </si>
  <si>
    <t>friction loss</t>
  </si>
  <si>
    <t>hf</t>
  </si>
  <si>
    <t>as %</t>
  </si>
  <si>
    <t>Turbulence losses</t>
  </si>
  <si>
    <t>intake</t>
  </si>
  <si>
    <t>hi</t>
  </si>
  <si>
    <t>shut-off valve</t>
  </si>
  <si>
    <t>hv</t>
  </si>
  <si>
    <t>bend - 30°, (R/r=4)</t>
  </si>
  <si>
    <t>hb</t>
  </si>
  <si>
    <t>total tubulence losses</t>
  </si>
  <si>
    <t>ht</t>
  </si>
  <si>
    <t>vtr</t>
  </si>
  <si>
    <t>head loss</t>
  </si>
  <si>
    <t>htr</t>
  </si>
  <si>
    <t>Total head loss</t>
  </si>
  <si>
    <t>hl</t>
  </si>
  <si>
    <t>hnet</t>
  </si>
  <si>
    <t>kW</t>
  </si>
  <si>
    <t>Ptotal</t>
  </si>
  <si>
    <t>synchronous speed</t>
  </si>
  <si>
    <t>rpm</t>
  </si>
  <si>
    <t>Nsync</t>
  </si>
  <si>
    <t>turbine speed</t>
  </si>
  <si>
    <t>Nt</t>
  </si>
  <si>
    <t>turbine rated power</t>
  </si>
  <si>
    <t>Prat</t>
  </si>
  <si>
    <t>Specific speed</t>
  </si>
  <si>
    <t>Ns</t>
  </si>
  <si>
    <t>min power (kW)</t>
  </si>
  <si>
    <t>lower limit</t>
  </si>
  <si>
    <t>upper limit</t>
  </si>
  <si>
    <t>Pmin</t>
  </si>
  <si>
    <t>Head loss coefficients</t>
  </si>
  <si>
    <t>Ki</t>
  </si>
  <si>
    <t>Kv</t>
  </si>
  <si>
    <t>Kb</t>
  </si>
  <si>
    <t>bend angle</t>
  </si>
  <si>
    <t>thb</t>
  </si>
  <si>
    <t>gravity</t>
  </si>
  <si>
    <t>m/s^2</t>
  </si>
  <si>
    <t>g</t>
  </si>
  <si>
    <t>rho</t>
  </si>
  <si>
    <t>water viscosity</t>
  </si>
  <si>
    <t>Pa.s</t>
  </si>
  <si>
    <t>mu</t>
  </si>
  <si>
    <t>roughness factor</t>
  </si>
  <si>
    <t>ka</t>
  </si>
  <si>
    <t>multiplier</t>
  </si>
  <si>
    <t>kh</t>
  </si>
  <si>
    <t>kabr</t>
  </si>
  <si>
    <t>Reynolds factor</t>
  </si>
  <si>
    <t>kbb</t>
  </si>
  <si>
    <t>kbbb</t>
  </si>
  <si>
    <t>kbbr</t>
  </si>
  <si>
    <t>exponent</t>
  </si>
  <si>
    <t>ke</t>
  </si>
  <si>
    <t>kcbr</t>
  </si>
  <si>
    <t>kdgs</t>
  </si>
  <si>
    <t>kbbbb</t>
  </si>
  <si>
    <t>kee</t>
  </si>
  <si>
    <t>Pelton (1 jet)</t>
  </si>
  <si>
    <t>Pelton (2 jet)</t>
  </si>
  <si>
    <t>Pelton (4 jet)</t>
  </si>
  <si>
    <t>Turgo</t>
  </si>
  <si>
    <t>Turgo  (2 jet)</t>
  </si>
  <si>
    <t>Turgo  (4 jet)</t>
  </si>
  <si>
    <t>Turgo  (6 jet)</t>
  </si>
  <si>
    <t>Cross-flow</t>
  </si>
  <si>
    <t>Francis</t>
  </si>
  <si>
    <t>Propeller</t>
  </si>
  <si>
    <t>Kaplan</t>
  </si>
  <si>
    <t>friction loss factor</t>
  </si>
  <si>
    <t>Estimating Catchment Area</t>
  </si>
  <si>
    <t>Estimating Rainfall Intensity</t>
  </si>
  <si>
    <t>by comparison with similar catchment</t>
  </si>
  <si>
    <t>measured mean/gross ratio</t>
  </si>
  <si>
    <t>Data you are given</t>
  </si>
  <si>
    <t>Data you need to supply</t>
  </si>
  <si>
    <t>Data you need to calculate (according to a formula from notes)</t>
  </si>
  <si>
    <t>Set parameters you are given</t>
  </si>
  <si>
    <t>A</t>
  </si>
  <si>
    <t>B</t>
  </si>
  <si>
    <t>C</t>
  </si>
  <si>
    <t>Ll</t>
  </si>
  <si>
    <t>Q.95</t>
  </si>
  <si>
    <t>Q.70</t>
  </si>
  <si>
    <t>Q.50</t>
  </si>
  <si>
    <t>Q.10</t>
  </si>
  <si>
    <t>Q.5</t>
  </si>
  <si>
    <t>Kilwinning</t>
  </si>
  <si>
    <t>Based on:</t>
  </si>
  <si>
    <t>Dalry</t>
  </si>
  <si>
    <t>Data calculated for you in the spreadsheet with a given formula</t>
  </si>
  <si>
    <t>as % of gross head</t>
  </si>
  <si>
    <t>bends - 30°, (R/r=4)</t>
  </si>
  <si>
    <t>Estimated Flow Durations</t>
  </si>
  <si>
    <t>Lpp</t>
  </si>
  <si>
    <t>square rainfall (mid-range)</t>
  </si>
  <si>
    <t>Which Q number?</t>
  </si>
  <si>
    <t>This will show the value of friction loss factor when you have filled in the relevant data</t>
  </si>
  <si>
    <t>Pgr</t>
  </si>
  <si>
    <t>Estimating Gross Head Available and Gross Power Available</t>
  </si>
  <si>
    <t>gear ratio (or belt drive ratio)</t>
  </si>
  <si>
    <t>As % of mean:</t>
  </si>
  <si>
    <t>Purple Path Length</t>
  </si>
  <si>
    <t>Green Path Length</t>
  </si>
  <si>
    <t>Pipe Length</t>
  </si>
  <si>
    <t>Pipe Diameter</t>
  </si>
  <si>
    <t>Specific Speed</t>
  </si>
  <si>
    <t>Nl</t>
  </si>
  <si>
    <t>Nu</t>
  </si>
  <si>
    <t>QnetD</t>
  </si>
  <si>
    <t>QnetK</t>
  </si>
  <si>
    <t>QpercentD</t>
  </si>
  <si>
    <t>expercent</t>
  </si>
  <si>
    <t>QexD</t>
  </si>
  <si>
    <t>expercentK</t>
  </si>
  <si>
    <t>QexK</t>
  </si>
  <si>
    <t>QpercentK</t>
  </si>
  <si>
    <t>Exceeded Flow</t>
  </si>
  <si>
    <t>QexCd</t>
  </si>
  <si>
    <t>QexCk</t>
  </si>
  <si>
    <t>Qgr</t>
  </si>
  <si>
    <t>icomp</t>
  </si>
  <si>
    <t>comppercent</t>
  </si>
  <si>
    <t>ides</t>
  </si>
  <si>
    <t>despercent</t>
  </si>
  <si>
    <t>QdesD</t>
  </si>
  <si>
    <t>QdesK</t>
  </si>
  <si>
    <t>QcompD</t>
  </si>
  <si>
    <t>QcompK</t>
  </si>
  <si>
    <t>(from earlier calculation)</t>
  </si>
  <si>
    <t xml:space="preserve"> 1/8</t>
  </si>
  <si>
    <t xml:space="preserve"> 1/4</t>
  </si>
  <si>
    <t xml:space="preserve"> 3/8</t>
  </si>
  <si>
    <t xml:space="preserve"> 1/2</t>
  </si>
  <si>
    <t xml:space="preserve"> 5/8</t>
  </si>
  <si>
    <t xml:space="preserve"> 3/4</t>
  </si>
  <si>
    <t xml:space="preserve"> 7/8</t>
  </si>
  <si>
    <t>total</t>
  </si>
  <si>
    <t>Mapped SAAR Annual Rainfall (mm)</t>
  </si>
  <si>
    <t>square fill</t>
  </si>
  <si>
    <t>DALRY</t>
  </si>
  <si>
    <t>KILWINNING</t>
  </si>
  <si>
    <t>LOCATION MAPS</t>
  </si>
  <si>
    <t>83002 - Garnock at Dalry</t>
  </si>
  <si>
    <t>RAINFALL MAPS (SAAR)</t>
  </si>
  <si>
    <t>CATCHMENT AREA</t>
  </si>
  <si>
    <t>RAINFALL</t>
  </si>
  <si>
    <t>kmg</t>
  </si>
  <si>
    <t>ANNUAL HYDROGRAPH</t>
  </si>
  <si>
    <t>FLOW-DURATION</t>
  </si>
  <si>
    <t>FLOW DURATION CURVES</t>
  </si>
  <si>
    <t>Q95D</t>
  </si>
  <si>
    <t>Q70D</t>
  </si>
  <si>
    <t>Q50D</t>
  </si>
  <si>
    <t>Q10D</t>
  </si>
  <si>
    <t>Q05D</t>
  </si>
  <si>
    <t>TOPOGRAPHY (Elevation Distribution)</t>
  </si>
  <si>
    <t>ELEVATION MAPS</t>
  </si>
  <si>
    <t>LAND COVER</t>
  </si>
  <si>
    <t>LAND COVER MAPS</t>
  </si>
  <si>
    <t>SOIL TYPE and BEDROCK</t>
  </si>
  <si>
    <t>SOIL AND BEDROCK MAPS</t>
  </si>
  <si>
    <t>Q95K</t>
  </si>
  <si>
    <t>Q70K</t>
  </si>
  <si>
    <t>Q50K</t>
  </si>
  <si>
    <t>Q10K</t>
  </si>
  <si>
    <t>Q05K</t>
  </si>
  <si>
    <t>Pelton (3 jet)</t>
  </si>
  <si>
    <t>Turgo (3 jet)</t>
  </si>
  <si>
    <t>square count 1300</t>
  </si>
  <si>
    <t>square count 1500</t>
  </si>
  <si>
    <t>square count 1700</t>
  </si>
  <si>
    <t>square fill rainfall</t>
  </si>
  <si>
    <t>square count rainfall</t>
  </si>
  <si>
    <t>conversion factor</t>
  </si>
  <si>
    <t>estimated annual gross mean flow for Caaf Water</t>
  </si>
  <si>
    <t>kmgD</t>
  </si>
  <si>
    <t>kmgK</t>
  </si>
  <si>
    <t>QpcmeanD</t>
  </si>
  <si>
    <t>QpcmeanK</t>
  </si>
  <si>
    <t>From Previous pages:</t>
  </si>
  <si>
    <t>From Previous Pages:</t>
  </si>
  <si>
    <t>COLOUR CODE</t>
  </si>
  <si>
    <t>1) Estimate the gross annual mean flow in Caaf Water</t>
  </si>
  <si>
    <t>Please be careful: the square grid on the rainfall map is not identical to the grid on the catchment map above</t>
  </si>
  <si>
    <t>2) Correlate the flow in Caaf Water with another catchment</t>
  </si>
  <si>
    <t>2 a) Use the published annual rainfall data and the published catchment areas to estimate the Gross mean annual flow at the 2 stations</t>
  </si>
  <si>
    <t>2 a) (cont) Use the published flow data for the 2 stations to estimate the proportion not ‘lost’ in each catchment</t>
  </si>
  <si>
    <t xml:space="preserve">ie the proportion of the gross flow estimate that actually runs off in the river as river flow.  </t>
  </si>
  <si>
    <t>Published Gauged (Measured) Flow Data from the 2 Gauging Stations:</t>
  </si>
  <si>
    <t>These are the published exceedence flow rates at the 2 stations</t>
  </si>
  <si>
    <t>↓</t>
  </si>
  <si>
    <t>Percentage exceedence</t>
  </si>
  <si>
    <t>These are the published measured annual mean nett flow rate at the 2 stations</t>
  </si>
  <si>
    <t>↑</t>
  </si>
  <si>
    <t>These are the published exceedence flow rates expressed as % of the annual mean nett flow</t>
  </si>
  <si>
    <t xml:space="preserve"> red line - June to September.</t>
  </si>
  <si>
    <r>
      <t>Key</t>
    </r>
    <r>
      <rPr>
        <sz val="11"/>
        <color theme="1"/>
        <rFont val="Calibri"/>
        <family val="2"/>
        <scheme val="minor"/>
      </rPr>
      <t>: Black line - annual;</t>
    </r>
  </si>
  <si>
    <t xml:space="preserve"> blue line - December to March;</t>
  </si>
  <si>
    <t>Calculated Parameters Describing Properties of the Catchments</t>
  </si>
  <si>
    <t>2) b) iv) Also estimate Caaf Water’s Q95, Q70, Q50, Q10, Q5</t>
  </si>
  <si>
    <t>2) b) Correlate the Flow in Caaf Water</t>
  </si>
  <si>
    <t>with your Chosen Catchment</t>
  </si>
  <si>
    <t>2) b) iii) Use your chosen source of correlation data</t>
  </si>
  <si>
    <t>nett mean annual flow rate</t>
  </si>
  <si>
    <t xml:space="preserve">to adjust the gross flow estimate for Caaf Water to estimate its </t>
  </si>
  <si>
    <t>using the published Q95 etc figures for Dalry and Kilwinning on the previous page</t>
  </si>
  <si>
    <t>3) Estimate the design flow for your hydro scheme</t>
  </si>
  <si>
    <t>3 a) The Water authority requires compensation flow equal to Q.95</t>
  </si>
  <si>
    <t>Take this from your calculations on the previous page</t>
  </si>
  <si>
    <t>Select your design flow accordingly</t>
  </si>
  <si>
    <t>Calculate the Design (captured) flow based on your chosen level of exceedence</t>
  </si>
  <si>
    <t>4 a) Identify the key components of the scheme:</t>
  </si>
  <si>
    <t>Design Flow</t>
  </si>
  <si>
    <t>5) Select a pipe diameter, Estimate head losses and available power and Select a Turbine Type</t>
  </si>
  <si>
    <t>5) a) Select pipe diameter</t>
  </si>
  <si>
    <t>Make an initial selection.  Calculate losses.  Review whether the losses are too high or too low.  If necessary, choose a different diameter</t>
  </si>
  <si>
    <t>Nett Hydraulic power</t>
  </si>
  <si>
    <t>Nett Head</t>
  </si>
  <si>
    <t>6) Choose Gear/Speed Changer Ratio and Number of Pole-Pairs to set the Turbine Speed and Select a Turbine Type</t>
  </si>
  <si>
    <t>Make an initial selection.  Check that it is suitable (not outside any limits)  If necessary, choose a different type or go back and adjust some parameters in 6 a) or b)</t>
  </si>
  <si>
    <t>Estimate the Turbine Setting loss</t>
  </si>
  <si>
    <t>These cells calculate the friction loss factor for the Darcy-Weisbach equation according to Colebrook-White formula, approximated by Serghides</t>
  </si>
  <si>
    <t>This is calculated automatically for you</t>
  </si>
  <si>
    <t>Friction Losses</t>
  </si>
  <si>
    <t>Trash rack losses</t>
  </si>
  <si>
    <t>Calculate Pipe Length</t>
  </si>
  <si>
    <t>1 a) Estimate the catchment area from the map by counting grid squares</t>
  </si>
  <si>
    <t>The map squares are coloured according to their mean annual rainfall</t>
  </si>
  <si>
    <t>Estimate the catchment mean annual rainfall with a weighted mean by counting squares</t>
  </si>
  <si>
    <t>1 b) Estimate the mean annual rainfall from rainfall map</t>
  </si>
  <si>
    <t>1 c) Estimate Caaf Water’s gross annual flow by the Area-Intensity method from rainfall and catchment area</t>
  </si>
  <si>
    <t>3 b) Decide what percentage of the time the scheme should be operated at full rated power</t>
  </si>
  <si>
    <t>4 b) Using the contour map, Estimate the gross head available for each of the 3 proposed scheme layouts, A, B, &amp; C</t>
  </si>
  <si>
    <t>4 d) Calculate the Gross Hydraulic Power available</t>
  </si>
  <si>
    <t>4 f) Calculate the length of Pipe needed</t>
  </si>
  <si>
    <t>5) b) &amp; c) Calculate Pipe Flow Speed and Dynamic Head</t>
  </si>
  <si>
    <t>5) d) Estimate head losses and Nett Head</t>
  </si>
  <si>
    <t>5) d) Calculate Nett Hydraulic Power</t>
  </si>
  <si>
    <t>6) a) &amp; b) Choose Generator number of Pole-Pairs</t>
  </si>
  <si>
    <t>6) c) Choose Gear/Speed-Changer Ratio</t>
  </si>
  <si>
    <t xml:space="preserve">6) d) &amp; e) Calculate Turbine Speed and Rated Power </t>
  </si>
  <si>
    <t>6) f) &amp; g) Calculate Turbine Specific Speed and select Turbine Type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</si>
</sst>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164" formatCode="0.0%"/>
    <numFmt numFmtId="165" formatCode="0.000"/>
    <numFmt numFmtId="166" formatCode="0.00000"/>
    <numFmt numFmtId="167" formatCode="0.0000"/>
    <numFmt numFmtId="168" formatCode="0.000000"/>
    <numFmt numFmtId="169" formatCode="0.000E+00"/>
    <numFmt numFmtId="170" formatCode="0.0"/>
    <numFmt numFmtId="171" formatCode="0.000%"/>
  </numFmts>
  <fonts count="8" x14ac:knownFonts="1">
    <font>
      <sz val="11"/>
      <color theme="1"/>
      <name val="Calibri"/>
      <family val="2"/>
      <scheme val="minor"/>
    </font>
    <font>
      <b/>
      <sz val="11"/>
      <color theme="1"/>
      <name val="Calibri"/>
      <family val="2"/>
      <scheme val="minor"/>
    </font>
    <font>
      <sz val="11"/>
      <color theme="1"/>
      <name val="Calibri"/>
      <family val="2"/>
      <scheme val="minor"/>
    </font>
    <font>
      <sz val="10"/>
      <name val="Arial"/>
      <family val="2"/>
    </font>
    <font>
      <b/>
      <sz val="14"/>
      <color theme="1"/>
      <name val="Calibri"/>
      <family val="2"/>
      <scheme val="minor"/>
    </font>
    <font>
      <b/>
      <sz val="16"/>
      <color theme="1"/>
      <name val="Calibri"/>
      <family val="2"/>
      <scheme val="minor"/>
    </font>
    <font>
      <b/>
      <sz val="12"/>
      <color theme="1"/>
      <name val="Calibri"/>
      <family val="2"/>
      <scheme val="minor"/>
    </font>
    <font>
      <sz val="14"/>
      <color theme="1"/>
      <name val="Calibri"/>
      <family val="2"/>
      <scheme val="minor"/>
    </font>
  </fonts>
  <fills count="9">
    <fill>
      <patternFill patternType="none"/>
    </fill>
    <fill>
      <patternFill patternType="gray125"/>
    </fill>
    <fill>
      <patternFill patternType="solid">
        <fgColor rgb="FF92D050"/>
        <bgColor indexed="64"/>
      </patternFill>
    </fill>
    <fill>
      <patternFill patternType="solid">
        <fgColor rgb="FF00B0F0"/>
        <bgColor indexed="64"/>
      </patternFill>
    </fill>
    <fill>
      <patternFill patternType="solid">
        <fgColor rgb="FFFFCCFF"/>
        <bgColor indexed="64"/>
      </patternFill>
    </fill>
    <fill>
      <patternFill patternType="solid">
        <fgColor rgb="FFFFFF00"/>
        <bgColor indexed="64"/>
      </patternFill>
    </fill>
    <fill>
      <patternFill patternType="solid">
        <fgColor rgb="FFFFC000"/>
        <bgColor indexed="64"/>
      </patternFill>
    </fill>
    <fill>
      <patternFill patternType="solid">
        <fgColor theme="7" tint="0.59999389629810485"/>
        <bgColor indexed="64"/>
      </patternFill>
    </fill>
    <fill>
      <patternFill patternType="solid">
        <fgColor rgb="FFC9DEB2"/>
        <bgColor indexed="64"/>
      </patternFill>
    </fill>
  </fills>
  <borders count="43">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right/>
      <top style="medium">
        <color indexed="64"/>
      </top>
      <bottom/>
      <diagonal/>
    </border>
    <border>
      <left/>
      <right/>
      <top/>
      <bottom style="medium">
        <color indexed="64"/>
      </bottom>
      <diagonal/>
    </border>
    <border>
      <left/>
      <right style="medium">
        <color indexed="64"/>
      </right>
      <top/>
      <bottom/>
      <diagonal/>
    </border>
    <border>
      <left style="thin">
        <color indexed="64"/>
      </left>
      <right style="thin">
        <color indexed="64"/>
      </right>
      <top style="thin">
        <color indexed="64"/>
      </top>
      <bottom style="thin">
        <color indexed="64"/>
      </bottom>
      <diagonal/>
    </border>
    <border>
      <left/>
      <right style="medium">
        <color indexed="64"/>
      </right>
      <top style="medium">
        <color indexed="64"/>
      </top>
      <bottom/>
      <diagonal/>
    </border>
    <border>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medium">
        <color indexed="64"/>
      </right>
      <top style="thin">
        <color indexed="64"/>
      </top>
      <bottom style="thin">
        <color indexed="64"/>
      </bottom>
      <diagonal/>
    </border>
    <border>
      <left style="thick">
        <color indexed="64"/>
      </left>
      <right style="thick">
        <color indexed="64"/>
      </right>
      <top style="thick">
        <color indexed="64"/>
      </top>
      <bottom style="thick">
        <color indexed="64"/>
      </bottom>
      <diagonal/>
    </border>
    <border>
      <left style="thin">
        <color indexed="64"/>
      </left>
      <right style="medium">
        <color indexed="64"/>
      </right>
      <top/>
      <bottom style="thin">
        <color indexed="64"/>
      </bottom>
      <diagonal/>
    </border>
    <border>
      <left style="medium">
        <color auto="1"/>
      </left>
      <right/>
      <top/>
      <bottom style="medium">
        <color auto="1"/>
      </bottom>
      <diagonal/>
    </border>
    <border>
      <left style="medium">
        <color auto="1"/>
      </left>
      <right/>
      <top style="medium">
        <color auto="1"/>
      </top>
      <bottom style="medium">
        <color auto="1"/>
      </bottom>
      <diagonal/>
    </border>
    <border>
      <left/>
      <right style="medium">
        <color auto="1"/>
      </right>
      <top style="medium">
        <color auto="1"/>
      </top>
      <bottom style="medium">
        <color auto="1"/>
      </bottom>
      <diagonal/>
    </border>
    <border>
      <left style="medium">
        <color auto="1"/>
      </left>
      <right style="thin">
        <color auto="1"/>
      </right>
      <top style="thin">
        <color auto="1"/>
      </top>
      <bottom/>
      <diagonal/>
    </border>
    <border>
      <left style="thin">
        <color auto="1"/>
      </left>
      <right style="medium">
        <color indexed="64"/>
      </right>
      <top style="thin">
        <color auto="1"/>
      </top>
      <bottom/>
      <diagonal/>
    </border>
    <border>
      <left style="medium">
        <color auto="1"/>
      </left>
      <right style="thin">
        <color auto="1"/>
      </right>
      <top/>
      <bottom/>
      <diagonal/>
    </border>
    <border>
      <left style="thin">
        <color auto="1"/>
      </left>
      <right style="medium">
        <color indexed="64"/>
      </right>
      <top/>
      <bottom/>
      <diagonal/>
    </border>
    <border>
      <left style="medium">
        <color auto="1"/>
      </left>
      <right style="thin">
        <color auto="1"/>
      </right>
      <top/>
      <bottom style="medium">
        <color indexed="64"/>
      </bottom>
      <diagonal/>
    </border>
    <border>
      <left style="thin">
        <color auto="1"/>
      </left>
      <right style="medium">
        <color indexed="64"/>
      </right>
      <top/>
      <bottom style="medium">
        <color indexed="64"/>
      </bottom>
      <diagonal/>
    </border>
    <border>
      <left style="medium">
        <color auto="1"/>
      </left>
      <right style="thin">
        <color auto="1"/>
      </right>
      <top style="medium">
        <color auto="1"/>
      </top>
      <bottom style="thin">
        <color auto="1"/>
      </bottom>
      <diagonal/>
    </border>
    <border>
      <left style="thin">
        <color auto="1"/>
      </left>
      <right style="medium">
        <color indexed="64"/>
      </right>
      <top style="medium">
        <color auto="1"/>
      </top>
      <bottom style="thin">
        <color auto="1"/>
      </bottom>
      <diagonal/>
    </border>
    <border>
      <left style="medium">
        <color auto="1"/>
      </left>
      <right/>
      <top style="thin">
        <color auto="1"/>
      </top>
      <bottom style="medium">
        <color auto="1"/>
      </bottom>
      <diagonal/>
    </border>
    <border>
      <left/>
      <right style="medium">
        <color indexed="64"/>
      </right>
      <top style="thin">
        <color auto="1"/>
      </top>
      <bottom style="medium">
        <color auto="1"/>
      </bottom>
      <diagonal/>
    </border>
    <border>
      <left style="thin">
        <color auto="1"/>
      </left>
      <right style="medium">
        <color indexed="64"/>
      </right>
      <top style="thin">
        <color auto="1"/>
      </top>
      <bottom style="medium">
        <color auto="1"/>
      </bottom>
      <diagonal/>
    </border>
    <border>
      <left style="medium">
        <color indexed="64"/>
      </left>
      <right/>
      <top/>
      <bottom/>
      <diagonal/>
    </border>
    <border>
      <left/>
      <right style="thick">
        <color indexed="64"/>
      </right>
      <top/>
      <bottom/>
      <diagonal/>
    </border>
    <border>
      <left style="medium">
        <color indexed="64"/>
      </left>
      <right style="thin">
        <color indexed="64"/>
      </right>
      <top style="thin">
        <color indexed="64"/>
      </top>
      <bottom style="thin">
        <color indexed="64"/>
      </bottom>
      <diagonal/>
    </border>
  </borders>
  <cellStyleXfs count="2">
    <xf numFmtId="0" fontId="0" fillId="0" borderId="0"/>
    <xf numFmtId="9" fontId="2" fillId="0" borderId="0" applyFont="0" applyFill="0" applyBorder="0" applyAlignment="0" applyProtection="0"/>
  </cellStyleXfs>
  <cellXfs count="178">
    <xf numFmtId="0" fontId="0" fillId="0" borderId="0" xfId="0"/>
    <xf numFmtId="0" fontId="0" fillId="2" borderId="10" xfId="0" applyFill="1" applyBorder="1" applyProtection="1">
      <protection locked="0"/>
    </xf>
    <xf numFmtId="0" fontId="0" fillId="3" borderId="0" xfId="0" applyFill="1" applyProtection="1">
      <protection locked="0"/>
    </xf>
    <xf numFmtId="165" fontId="0" fillId="3" borderId="0" xfId="0" applyNumberFormat="1" applyFill="1" applyProtection="1">
      <protection locked="0"/>
    </xf>
    <xf numFmtId="165" fontId="0" fillId="3" borderId="10" xfId="0" applyNumberFormat="1" applyFill="1" applyBorder="1" applyProtection="1">
      <protection locked="0"/>
    </xf>
    <xf numFmtId="167" fontId="0" fillId="3" borderId="10" xfId="0" applyNumberFormat="1" applyFill="1" applyBorder="1" applyProtection="1">
      <protection locked="0"/>
    </xf>
    <xf numFmtId="164" fontId="0" fillId="3" borderId="0" xfId="1" applyNumberFormat="1" applyFont="1" applyFill="1" applyBorder="1" applyProtection="1">
      <protection locked="0"/>
    </xf>
    <xf numFmtId="2" fontId="0" fillId="3" borderId="0" xfId="0" applyNumberFormat="1" applyFill="1" applyProtection="1">
      <protection locked="0"/>
    </xf>
    <xf numFmtId="171" fontId="0" fillId="3" borderId="0" xfId="1" applyNumberFormat="1" applyFont="1" applyFill="1" applyBorder="1" applyProtection="1">
      <protection locked="0"/>
    </xf>
    <xf numFmtId="0" fontId="0" fillId="0" borderId="0" xfId="0" applyProtection="1">
      <protection locked="0"/>
    </xf>
    <xf numFmtId="0" fontId="0" fillId="0" borderId="7" xfId="0" applyBorder="1" applyProtection="1">
      <protection locked="0"/>
    </xf>
    <xf numFmtId="0" fontId="0" fillId="0" borderId="14" xfId="0" applyBorder="1" applyProtection="1">
      <protection locked="0"/>
    </xf>
    <xf numFmtId="0" fontId="0" fillId="0" borderId="15" xfId="0" applyBorder="1" applyProtection="1">
      <protection locked="0"/>
    </xf>
    <xf numFmtId="0" fontId="1" fillId="0" borderId="0" xfId="0" applyFont="1" applyProtection="1">
      <protection locked="0"/>
    </xf>
    <xf numFmtId="0" fontId="0" fillId="0" borderId="0" xfId="0" applyAlignment="1" applyProtection="1">
      <alignment horizontal="right"/>
      <protection locked="0"/>
    </xf>
    <xf numFmtId="0" fontId="0" fillId="0" borderId="4" xfId="0" applyBorder="1" applyProtection="1">
      <protection locked="0"/>
    </xf>
    <xf numFmtId="0" fontId="0" fillId="0" borderId="5" xfId="0" applyBorder="1" applyProtection="1">
      <protection locked="0"/>
    </xf>
    <xf numFmtId="0" fontId="0" fillId="0" borderId="2" xfId="0" applyBorder="1" applyProtection="1">
      <protection locked="0"/>
    </xf>
    <xf numFmtId="0" fontId="0" fillId="0" borderId="6" xfId="0" applyBorder="1" applyProtection="1">
      <protection locked="0"/>
    </xf>
    <xf numFmtId="0" fontId="0" fillId="0" borderId="8" xfId="0" applyBorder="1" applyProtection="1">
      <protection locked="0"/>
    </xf>
    <xf numFmtId="164" fontId="0" fillId="0" borderId="0" xfId="1" applyNumberFormat="1" applyFont="1" applyBorder="1" applyProtection="1">
      <protection locked="0"/>
    </xf>
    <xf numFmtId="0" fontId="0" fillId="0" borderId="0" xfId="0" applyAlignment="1">
      <alignment vertical="center" wrapText="1"/>
    </xf>
    <xf numFmtId="0" fontId="0" fillId="0" borderId="0" xfId="0" applyAlignment="1">
      <alignment vertical="center"/>
    </xf>
    <xf numFmtId="0" fontId="1" fillId="0" borderId="0" xfId="0" applyFont="1"/>
    <xf numFmtId="0" fontId="0" fillId="2" borderId="10" xfId="0" applyFill="1" applyBorder="1"/>
    <xf numFmtId="0" fontId="0" fillId="0" borderId="0" xfId="0" applyAlignment="1">
      <alignment horizontal="left"/>
    </xf>
    <xf numFmtId="0" fontId="0" fillId="3" borderId="0" xfId="0" applyFill="1"/>
    <xf numFmtId="0" fontId="0" fillId="5" borderId="10" xfId="0" applyFill="1" applyBorder="1"/>
    <xf numFmtId="0" fontId="0" fillId="5" borderId="0" xfId="0" applyFill="1"/>
    <xf numFmtId="0" fontId="0" fillId="7" borderId="0" xfId="0" applyFill="1"/>
    <xf numFmtId="0" fontId="0" fillId="6" borderId="0" xfId="0" applyFill="1"/>
    <xf numFmtId="0" fontId="0" fillId="4" borderId="0" xfId="0" applyFill="1"/>
    <xf numFmtId="0" fontId="0" fillId="0" borderId="0" xfId="0" applyAlignment="1">
      <alignment horizontal="right"/>
    </xf>
    <xf numFmtId="0" fontId="0" fillId="0" borderId="5" xfId="0" applyBorder="1"/>
    <xf numFmtId="0" fontId="0" fillId="0" borderId="2" xfId="0" applyBorder="1"/>
    <xf numFmtId="0" fontId="0" fillId="0" borderId="3" xfId="0" applyBorder="1"/>
    <xf numFmtId="168" fontId="0" fillId="0" borderId="2" xfId="0" applyNumberFormat="1" applyBorder="1"/>
    <xf numFmtId="165" fontId="0" fillId="7" borderId="0" xfId="0" applyNumberFormat="1" applyFill="1"/>
    <xf numFmtId="0" fontId="0" fillId="0" borderId="4" xfId="0" applyBorder="1" applyAlignment="1">
      <alignment horizontal="right"/>
    </xf>
    <xf numFmtId="9" fontId="0" fillId="5" borderId="10" xfId="1" applyFont="1" applyFill="1" applyBorder="1" applyProtection="1"/>
    <xf numFmtId="0" fontId="3" fillId="0" borderId="0" xfId="0" applyFont="1"/>
    <xf numFmtId="0" fontId="0" fillId="0" borderId="6" xfId="0" applyBorder="1"/>
    <xf numFmtId="0" fontId="0" fillId="0" borderId="7" xfId="0" applyBorder="1"/>
    <xf numFmtId="0" fontId="0" fillId="0" borderId="8" xfId="0" applyBorder="1"/>
    <xf numFmtId="0" fontId="0" fillId="5" borderId="11" xfId="0" applyFill="1" applyBorder="1"/>
    <xf numFmtId="0" fontId="0" fillId="5" borderId="13" xfId="0" applyFill="1" applyBorder="1"/>
    <xf numFmtId="10" fontId="0" fillId="0" borderId="0" xfId="0" applyNumberFormat="1"/>
    <xf numFmtId="9" fontId="0" fillId="0" borderId="0" xfId="0" applyNumberFormat="1"/>
    <xf numFmtId="0" fontId="0" fillId="5" borderId="12" xfId="0" applyFill="1" applyBorder="1"/>
    <xf numFmtId="168" fontId="0" fillId="0" borderId="3" xfId="0" applyNumberFormat="1" applyBorder="1"/>
    <xf numFmtId="165" fontId="0" fillId="7" borderId="5" xfId="0" applyNumberFormat="1" applyFill="1" applyBorder="1"/>
    <xf numFmtId="166" fontId="0" fillId="6" borderId="17" xfId="0" applyNumberFormat="1" applyFill="1" applyBorder="1"/>
    <xf numFmtId="0" fontId="0" fillId="5" borderId="17" xfId="0" applyFill="1" applyBorder="1"/>
    <xf numFmtId="0" fontId="0" fillId="0" borderId="6" xfId="0" applyBorder="1" applyAlignment="1">
      <alignment horizontal="right"/>
    </xf>
    <xf numFmtId="0" fontId="3" fillId="0" borderId="4" xfId="0" applyFont="1" applyBorder="1" applyAlignment="1">
      <alignment horizontal="right"/>
    </xf>
    <xf numFmtId="0" fontId="0" fillId="0" borderId="18" xfId="0" applyBorder="1" applyProtection="1">
      <protection locked="0"/>
    </xf>
    <xf numFmtId="0" fontId="0" fillId="0" borderId="16" xfId="0" applyBorder="1" applyProtection="1">
      <protection locked="0"/>
    </xf>
    <xf numFmtId="0" fontId="0" fillId="0" borderId="19" xfId="0" applyBorder="1" applyProtection="1">
      <protection locked="0"/>
    </xf>
    <xf numFmtId="0" fontId="0" fillId="0" borderId="17" xfId="0" applyBorder="1"/>
    <xf numFmtId="0" fontId="0" fillId="4" borderId="20" xfId="0" applyFill="1" applyBorder="1"/>
    <xf numFmtId="0" fontId="0" fillId="4" borderId="21" xfId="0" applyFill="1" applyBorder="1"/>
    <xf numFmtId="0" fontId="0" fillId="4" borderId="22" xfId="0" applyFill="1" applyBorder="1"/>
    <xf numFmtId="9" fontId="0" fillId="5" borderId="11" xfId="1" applyFont="1" applyFill="1" applyBorder="1" applyProtection="1"/>
    <xf numFmtId="9" fontId="0" fillId="5" borderId="12" xfId="1" applyFont="1" applyFill="1" applyBorder="1" applyProtection="1"/>
    <xf numFmtId="9" fontId="0" fillId="5" borderId="13" xfId="1" applyFont="1" applyFill="1" applyBorder="1" applyProtection="1"/>
    <xf numFmtId="164" fontId="0" fillId="6" borderId="0" xfId="1" applyNumberFormat="1" applyFont="1" applyFill="1" applyProtection="1"/>
    <xf numFmtId="0" fontId="0" fillId="2" borderId="11" xfId="0" applyFill="1" applyBorder="1" applyProtection="1">
      <protection locked="0"/>
    </xf>
    <xf numFmtId="0" fontId="0" fillId="2" borderId="12" xfId="0" applyFill="1" applyBorder="1" applyProtection="1">
      <protection locked="0"/>
    </xf>
    <xf numFmtId="0" fontId="0" fillId="2" borderId="13" xfId="0" applyFill="1" applyBorder="1" applyProtection="1">
      <protection locked="0"/>
    </xf>
    <xf numFmtId="11" fontId="0" fillId="6" borderId="2" xfId="0" applyNumberFormat="1" applyFill="1" applyBorder="1"/>
    <xf numFmtId="0" fontId="0" fillId="0" borderId="1" xfId="0" applyBorder="1"/>
    <xf numFmtId="0" fontId="0" fillId="0" borderId="4" xfId="0" applyBorder="1"/>
    <xf numFmtId="9" fontId="0" fillId="0" borderId="0" xfId="0" applyNumberFormat="1" applyProtection="1">
      <protection locked="0"/>
    </xf>
    <xf numFmtId="165" fontId="0" fillId="0" borderId="0" xfId="0" applyNumberFormat="1" applyProtection="1">
      <protection locked="0"/>
    </xf>
    <xf numFmtId="2" fontId="0" fillId="3" borderId="17" xfId="0" applyNumberFormat="1" applyFill="1" applyBorder="1" applyProtection="1">
      <protection locked="0"/>
    </xf>
    <xf numFmtId="2" fontId="0" fillId="3" borderId="23" xfId="0" applyNumberFormat="1" applyFill="1" applyBorder="1" applyProtection="1">
      <protection locked="0"/>
    </xf>
    <xf numFmtId="165" fontId="0" fillId="3" borderId="22" xfId="0" applyNumberFormat="1" applyFill="1" applyBorder="1" applyProtection="1">
      <protection locked="0"/>
    </xf>
    <xf numFmtId="167" fontId="0" fillId="3" borderId="22" xfId="0" applyNumberFormat="1" applyFill="1" applyBorder="1" applyProtection="1">
      <protection locked="0"/>
    </xf>
    <xf numFmtId="167" fontId="0" fillId="3" borderId="25" xfId="0" applyNumberFormat="1" applyFill="1" applyBorder="1" applyProtection="1">
      <protection locked="0"/>
    </xf>
    <xf numFmtId="0" fontId="0" fillId="2" borderId="24" xfId="0" applyFill="1" applyBorder="1" applyProtection="1">
      <protection locked="0"/>
    </xf>
    <xf numFmtId="170" fontId="0" fillId="3" borderId="24" xfId="0" applyNumberFormat="1" applyFill="1" applyBorder="1" applyProtection="1">
      <protection locked="0"/>
    </xf>
    <xf numFmtId="2" fontId="0" fillId="3" borderId="24" xfId="0" applyNumberFormat="1" applyFill="1" applyBorder="1" applyProtection="1">
      <protection locked="0"/>
    </xf>
    <xf numFmtId="165" fontId="0" fillId="3" borderId="24" xfId="0" applyNumberFormat="1" applyFill="1" applyBorder="1" applyProtection="1">
      <protection locked="0"/>
    </xf>
    <xf numFmtId="0" fontId="0" fillId="3" borderId="24" xfId="0" applyFill="1" applyBorder="1" applyProtection="1">
      <protection locked="0"/>
    </xf>
    <xf numFmtId="0" fontId="1" fillId="0" borderId="0" xfId="0" applyFont="1" applyAlignment="1">
      <alignment horizontal="right"/>
    </xf>
    <xf numFmtId="0" fontId="0" fillId="0" borderId="26" xfId="0" applyBorder="1" applyProtection="1">
      <protection locked="0"/>
    </xf>
    <xf numFmtId="0" fontId="0" fillId="3" borderId="15" xfId="0" applyFill="1" applyBorder="1" applyProtection="1">
      <protection locked="0"/>
    </xf>
    <xf numFmtId="0" fontId="0" fillId="0" borderId="27" xfId="0" applyBorder="1" applyProtection="1">
      <protection locked="0"/>
    </xf>
    <xf numFmtId="0" fontId="0" fillId="8" borderId="12" xfId="0" applyFill="1" applyBorder="1" applyAlignment="1" applyProtection="1">
      <alignment horizontal="right"/>
      <protection locked="0"/>
    </xf>
    <xf numFmtId="0" fontId="0" fillId="8" borderId="13" xfId="0" applyFill="1" applyBorder="1" applyProtection="1">
      <protection locked="0"/>
    </xf>
    <xf numFmtId="0" fontId="0" fillId="3" borderId="28" xfId="0" applyFill="1" applyBorder="1" applyProtection="1">
      <protection locked="0"/>
    </xf>
    <xf numFmtId="0" fontId="0" fillId="8" borderId="29" xfId="0" applyFill="1" applyBorder="1" applyProtection="1">
      <protection locked="0"/>
    </xf>
    <xf numFmtId="0" fontId="0" fillId="8" borderId="30" xfId="0" applyFill="1" applyBorder="1" applyProtection="1">
      <protection locked="0"/>
    </xf>
    <xf numFmtId="0" fontId="0" fillId="8" borderId="31" xfId="0" applyFill="1" applyBorder="1" applyProtection="1">
      <protection locked="0"/>
    </xf>
    <xf numFmtId="0" fontId="0" fillId="8" borderId="32" xfId="0" applyFill="1" applyBorder="1" applyProtection="1">
      <protection locked="0"/>
    </xf>
    <xf numFmtId="0" fontId="0" fillId="8" borderId="33" xfId="0" applyFill="1" applyBorder="1" applyProtection="1">
      <protection locked="0"/>
    </xf>
    <xf numFmtId="0" fontId="0" fillId="8" borderId="34" xfId="0" applyFill="1" applyBorder="1" applyProtection="1">
      <protection locked="0"/>
    </xf>
    <xf numFmtId="164" fontId="0" fillId="3" borderId="0" xfId="0" applyNumberFormat="1" applyFill="1" applyProtection="1">
      <protection locked="0"/>
    </xf>
    <xf numFmtId="0" fontId="4" fillId="0" borderId="0" xfId="0" applyFont="1" applyProtection="1">
      <protection locked="0"/>
    </xf>
    <xf numFmtId="0" fontId="0" fillId="0" borderId="3" xfId="0" applyBorder="1" applyProtection="1">
      <protection locked="0"/>
    </xf>
    <xf numFmtId="0" fontId="4" fillId="0" borderId="0" xfId="0" applyFont="1"/>
    <xf numFmtId="0" fontId="0" fillId="0" borderId="0" xfId="0" applyAlignment="1">
      <alignment horizontal="right" wrapText="1"/>
    </xf>
    <xf numFmtId="0" fontId="1" fillId="0" borderId="7" xfId="0" applyFont="1" applyBorder="1"/>
    <xf numFmtId="0" fontId="4" fillId="3" borderId="10" xfId="0" applyFont="1" applyFill="1" applyBorder="1" applyProtection="1">
      <protection locked="0"/>
    </xf>
    <xf numFmtId="165" fontId="7" fillId="3" borderId="24" xfId="0" applyNumberFormat="1" applyFont="1" applyFill="1" applyBorder="1" applyProtection="1">
      <protection locked="0"/>
    </xf>
    <xf numFmtId="0" fontId="0" fillId="0" borderId="7" xfId="0" applyBorder="1" applyAlignment="1" applyProtection="1">
      <alignment horizontal="right"/>
      <protection locked="0"/>
    </xf>
    <xf numFmtId="164" fontId="0" fillId="0" borderId="0" xfId="1" applyNumberFormat="1" applyFont="1" applyFill="1" applyProtection="1"/>
    <xf numFmtId="0" fontId="1" fillId="0" borderId="2" xfId="0" applyFont="1" applyBorder="1" applyProtection="1">
      <protection locked="0"/>
    </xf>
    <xf numFmtId="0" fontId="0" fillId="0" borderId="1" xfId="0" applyBorder="1" applyProtection="1">
      <protection locked="0"/>
    </xf>
    <xf numFmtId="0" fontId="1" fillId="0" borderId="6" xfId="0" applyFont="1" applyBorder="1" applyAlignment="1">
      <alignment horizontal="right"/>
    </xf>
    <xf numFmtId="170" fontId="4" fillId="3" borderId="24" xfId="0" applyNumberFormat="1" applyFont="1" applyFill="1" applyBorder="1" applyProtection="1">
      <protection locked="0"/>
    </xf>
    <xf numFmtId="0" fontId="1" fillId="0" borderId="2" xfId="0" applyFont="1" applyBorder="1"/>
    <xf numFmtId="0" fontId="1" fillId="0" borderId="4" xfId="0" applyFont="1" applyBorder="1" applyAlignment="1">
      <alignment horizontal="right"/>
    </xf>
    <xf numFmtId="166" fontId="0" fillId="0" borderId="0" xfId="0" applyNumberFormat="1"/>
    <xf numFmtId="165" fontId="1" fillId="3" borderId="24" xfId="0" applyNumberFormat="1" applyFont="1" applyFill="1" applyBorder="1" applyProtection="1">
      <protection locked="0"/>
    </xf>
    <xf numFmtId="167" fontId="1" fillId="3" borderId="24" xfId="0" applyNumberFormat="1" applyFont="1" applyFill="1" applyBorder="1" applyProtection="1">
      <protection locked="0"/>
    </xf>
    <xf numFmtId="0" fontId="1" fillId="0" borderId="41" xfId="0" applyFont="1" applyBorder="1"/>
    <xf numFmtId="0" fontId="6" fillId="0" borderId="0" xfId="0" applyFont="1" applyAlignment="1">
      <alignment horizontal="left"/>
    </xf>
    <xf numFmtId="0" fontId="6" fillId="0" borderId="0" xfId="0" applyFont="1" applyAlignment="1">
      <alignment horizontal="right"/>
    </xf>
    <xf numFmtId="0" fontId="0" fillId="2" borderId="28" xfId="0" applyFill="1" applyBorder="1"/>
    <xf numFmtId="0" fontId="0" fillId="5" borderId="28" xfId="0" applyFill="1" applyBorder="1"/>
    <xf numFmtId="0" fontId="0" fillId="4" borderId="0" xfId="0" applyFill="1" applyAlignment="1">
      <alignment horizontal="right"/>
    </xf>
    <xf numFmtId="0" fontId="1" fillId="4" borderId="0" xfId="0" applyFont="1" applyFill="1"/>
    <xf numFmtId="9" fontId="0" fillId="2" borderId="0" xfId="0" applyNumberFormat="1" applyFill="1" applyProtection="1">
      <protection locked="0"/>
    </xf>
    <xf numFmtId="0" fontId="0" fillId="0" borderId="7" xfId="0" applyBorder="1" applyAlignment="1">
      <alignment horizontal="right"/>
    </xf>
    <xf numFmtId="0" fontId="0" fillId="0" borderId="9" xfId="0" applyBorder="1"/>
    <xf numFmtId="0" fontId="6" fillId="0" borderId="0" xfId="0" applyFont="1" applyProtection="1">
      <protection locked="0"/>
    </xf>
    <xf numFmtId="164" fontId="0" fillId="0" borderId="0" xfId="1" applyNumberFormat="1" applyFont="1" applyFill="1" applyBorder="1" applyProtection="1">
      <protection locked="0"/>
    </xf>
    <xf numFmtId="0" fontId="0" fillId="0" borderId="0" xfId="1" applyNumberFormat="1" applyFont="1" applyFill="1" applyBorder="1" applyProtection="1">
      <protection locked="0"/>
    </xf>
    <xf numFmtId="0" fontId="0" fillId="0" borderId="0" xfId="1" applyNumberFormat="1" applyFont="1" applyFill="1" applyBorder="1" applyAlignment="1" applyProtection="1">
      <alignment horizontal="right"/>
      <protection locked="0"/>
    </xf>
    <xf numFmtId="0" fontId="0" fillId="6" borderId="0" xfId="0" applyFill="1" applyProtection="1">
      <protection locked="0"/>
    </xf>
    <xf numFmtId="165" fontId="0" fillId="0" borderId="7" xfId="0" applyNumberFormat="1" applyBorder="1" applyProtection="1">
      <protection locked="0"/>
    </xf>
    <xf numFmtId="0" fontId="5" fillId="0" borderId="0" xfId="0" applyFont="1"/>
    <xf numFmtId="0" fontId="4" fillId="0" borderId="2" xfId="0" applyFont="1" applyBorder="1"/>
    <xf numFmtId="9" fontId="0" fillId="0" borderId="2" xfId="1" applyFont="1" applyBorder="1" applyProtection="1"/>
    <xf numFmtId="170" fontId="0" fillId="0" borderId="7" xfId="0" applyNumberFormat="1" applyBorder="1"/>
    <xf numFmtId="0" fontId="1" fillId="0" borderId="3" xfId="0" applyFont="1" applyBorder="1"/>
    <xf numFmtId="0" fontId="0" fillId="0" borderId="14" xfId="0" applyBorder="1"/>
    <xf numFmtId="164" fontId="0" fillId="4" borderId="0" xfId="1" applyNumberFormat="1" applyFont="1" applyFill="1" applyBorder="1" applyProtection="1"/>
    <xf numFmtId="9" fontId="0" fillId="4" borderId="0" xfId="0" applyNumberFormat="1" applyFill="1"/>
    <xf numFmtId="165" fontId="0" fillId="4" borderId="0" xfId="0" applyNumberFormat="1" applyFill="1"/>
    <xf numFmtId="0" fontId="0" fillId="4" borderId="7" xfId="0" applyFill="1" applyBorder="1"/>
    <xf numFmtId="2" fontId="0" fillId="4" borderId="7" xfId="0" applyNumberFormat="1" applyFill="1" applyBorder="1"/>
    <xf numFmtId="0" fontId="0" fillId="0" borderId="2" xfId="0" applyBorder="1" applyAlignment="1">
      <alignment horizontal="right"/>
    </xf>
    <xf numFmtId="9" fontId="0" fillId="0" borderId="0" xfId="1" applyFont="1" applyBorder="1" applyProtection="1"/>
    <xf numFmtId="0" fontId="6" fillId="0" borderId="0" xfId="0" applyFont="1"/>
    <xf numFmtId="169" fontId="0" fillId="0" borderId="0" xfId="0" applyNumberFormat="1"/>
    <xf numFmtId="170" fontId="0" fillId="0" borderId="0" xfId="0" applyNumberFormat="1"/>
    <xf numFmtId="2" fontId="0" fillId="0" borderId="0" xfId="0" applyNumberFormat="1"/>
    <xf numFmtId="168" fontId="0" fillId="0" borderId="0" xfId="0" applyNumberFormat="1"/>
    <xf numFmtId="165" fontId="0" fillId="0" borderId="0" xfId="0" applyNumberFormat="1"/>
    <xf numFmtId="164" fontId="0" fillId="0" borderId="0" xfId="1" applyNumberFormat="1" applyFont="1" applyBorder="1" applyProtection="1"/>
    <xf numFmtId="164" fontId="0" fillId="0" borderId="0" xfId="0" applyNumberFormat="1"/>
    <xf numFmtId="0" fontId="0" fillId="6" borderId="0" xfId="1" applyNumberFormat="1" applyFont="1" applyFill="1" applyBorder="1" applyProtection="1"/>
    <xf numFmtId="9" fontId="0" fillId="5" borderId="0" xfId="0" applyNumberFormat="1" applyFill="1"/>
    <xf numFmtId="0" fontId="0" fillId="0" borderId="0" xfId="1" applyNumberFormat="1" applyFont="1" applyFill="1" applyBorder="1" applyProtection="1"/>
    <xf numFmtId="167" fontId="0" fillId="0" borderId="0" xfId="0" applyNumberFormat="1"/>
    <xf numFmtId="9" fontId="0" fillId="0" borderId="7" xfId="0" applyNumberFormat="1" applyBorder="1"/>
    <xf numFmtId="165" fontId="0" fillId="0" borderId="7" xfId="0" applyNumberFormat="1" applyBorder="1"/>
    <xf numFmtId="164" fontId="0" fillId="0" borderId="7" xfId="1" applyNumberFormat="1" applyFont="1" applyFill="1" applyBorder="1" applyProtection="1"/>
    <xf numFmtId="164" fontId="0" fillId="6" borderId="0" xfId="1" applyNumberFormat="1" applyFont="1" applyFill="1" applyBorder="1" applyProtection="1"/>
    <xf numFmtId="167" fontId="0" fillId="3" borderId="0" xfId="0" applyNumberFormat="1" applyFill="1" applyProtection="1">
      <protection locked="0"/>
    </xf>
    <xf numFmtId="0" fontId="0" fillId="4" borderId="2" xfId="0" applyFill="1" applyBorder="1"/>
    <xf numFmtId="0" fontId="5" fillId="0" borderId="2" xfId="0" applyFont="1" applyBorder="1"/>
    <xf numFmtId="0" fontId="1" fillId="0" borderId="0" xfId="0" applyFont="1" applyAlignment="1">
      <alignment horizontal="left"/>
    </xf>
    <xf numFmtId="0" fontId="0" fillId="0" borderId="11" xfId="0" applyBorder="1"/>
    <xf numFmtId="0" fontId="0" fillId="0" borderId="36" xfId="0" applyBorder="1" applyAlignment="1">
      <alignment wrapText="1"/>
    </xf>
    <xf numFmtId="0" fontId="0" fillId="0" borderId="10" xfId="0" applyBorder="1"/>
    <xf numFmtId="0" fontId="0" fillId="0" borderId="40" xfId="0" applyBorder="1"/>
    <xf numFmtId="0" fontId="0" fillId="0" borderId="37" xfId="0" applyBorder="1"/>
    <xf numFmtId="0" fontId="0" fillId="0" borderId="38" xfId="0" applyBorder="1"/>
    <xf numFmtId="0" fontId="0" fillId="0" borderId="39" xfId="0" applyBorder="1"/>
    <xf numFmtId="0" fontId="0" fillId="0" borderId="35" xfId="0" applyBorder="1" applyAlignment="1">
      <alignment wrapText="1"/>
    </xf>
    <xf numFmtId="165" fontId="0" fillId="0" borderId="2" xfId="0" applyNumberFormat="1" applyBorder="1" applyProtection="1">
      <protection locked="0"/>
    </xf>
    <xf numFmtId="167" fontId="0" fillId="0" borderId="2" xfId="0" applyNumberFormat="1" applyBorder="1" applyProtection="1">
      <protection locked="0"/>
    </xf>
    <xf numFmtId="167" fontId="0" fillId="0" borderId="7" xfId="0" applyNumberFormat="1" applyBorder="1" applyProtection="1">
      <protection locked="0"/>
    </xf>
    <xf numFmtId="2" fontId="0" fillId="3" borderId="42" xfId="0" applyNumberFormat="1" applyFill="1" applyBorder="1" applyProtection="1">
      <protection locked="0"/>
    </xf>
    <xf numFmtId="2" fontId="0" fillId="4" borderId="2" xfId="0" applyNumberFormat="1" applyFill="1" applyBorder="1"/>
  </cellXfs>
  <cellStyles count="2">
    <cellStyle name="Normal" xfId="0" builtinId="0"/>
    <cellStyle name="Percent" xfId="1" builtinId="5"/>
  </cellStyles>
  <dxfs count="1">
    <dxf>
      <font>
        <b/>
        <i val="0"/>
        <condense val="0"/>
        <extend val="0"/>
        <color indexed="43"/>
      </font>
      <fill>
        <patternFill>
          <bgColor indexed="17"/>
        </patternFill>
      </fill>
    </dxf>
  </dxfs>
  <tableStyles count="0" defaultTableStyle="TableStyleMedium2" defaultPivotStyle="PivotStyleLight16"/>
  <colors>
    <mruColors>
      <color rgb="FFFF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customXml" Target="../customXml/item3.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png"/><Relationship Id="rId18" Type="http://schemas.openxmlformats.org/officeDocument/2006/relationships/image" Target="../media/image23.png"/><Relationship Id="rId3" Type="http://schemas.openxmlformats.org/officeDocument/2006/relationships/image" Target="../media/image8.pn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png"/><Relationship Id="rId2" Type="http://schemas.openxmlformats.org/officeDocument/2006/relationships/image" Target="../media/image7.png"/><Relationship Id="rId16" Type="http://schemas.openxmlformats.org/officeDocument/2006/relationships/image" Target="../media/image21.png"/><Relationship Id="rId1" Type="http://schemas.openxmlformats.org/officeDocument/2006/relationships/image" Target="../media/image6.png"/><Relationship Id="rId6" Type="http://schemas.openxmlformats.org/officeDocument/2006/relationships/image" Target="../media/image11.png"/><Relationship Id="rId11" Type="http://schemas.openxmlformats.org/officeDocument/2006/relationships/image" Target="../media/image16.png"/><Relationship Id="rId5" Type="http://schemas.openxmlformats.org/officeDocument/2006/relationships/image" Target="../media/image10.png"/><Relationship Id="rId15" Type="http://schemas.openxmlformats.org/officeDocument/2006/relationships/image" Target="../media/image20.png"/><Relationship Id="rId10" Type="http://schemas.openxmlformats.org/officeDocument/2006/relationships/image" Target="../media/image15.pn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png"/></Relationships>
</file>

<file path=xl/drawings/_rels/drawing3.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6" Type="http://schemas.openxmlformats.org/officeDocument/2006/relationships/image" Target="../media/image29.png"/><Relationship Id="rId5" Type="http://schemas.openxmlformats.org/officeDocument/2006/relationships/image" Target="../media/image28.png"/><Relationship Id="rId4"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7</xdr:col>
      <xdr:colOff>9525</xdr:colOff>
      <xdr:row>83</xdr:row>
      <xdr:rowOff>9525</xdr:rowOff>
    </xdr:from>
    <xdr:to>
      <xdr:col>19</xdr:col>
      <xdr:colOff>476250</xdr:colOff>
      <xdr:row>110</xdr:row>
      <xdr:rowOff>95250</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rotWithShape="1">
        <a:blip xmlns:r="http://schemas.openxmlformats.org/officeDocument/2006/relationships" r:embed="rId1"/>
        <a:srcRect l="8273" t="8069" r="8183" b="8069"/>
        <a:stretch/>
      </xdr:blipFill>
      <xdr:spPr>
        <a:xfrm>
          <a:off x="4276725" y="15735300"/>
          <a:ext cx="7829550" cy="5810250"/>
        </a:xfrm>
        <a:prstGeom prst="rect">
          <a:avLst/>
        </a:prstGeom>
      </xdr:spPr>
    </xdr:pic>
    <xdr:clientData/>
  </xdr:twoCellAnchor>
  <xdr:twoCellAnchor editAs="oneCell">
    <xdr:from>
      <xdr:col>14</xdr:col>
      <xdr:colOff>247650</xdr:colOff>
      <xdr:row>83</xdr:row>
      <xdr:rowOff>19050</xdr:rowOff>
    </xdr:from>
    <xdr:to>
      <xdr:col>18</xdr:col>
      <xdr:colOff>142583</xdr:colOff>
      <xdr:row>104</xdr:row>
      <xdr:rowOff>19425</xdr:rowOff>
    </xdr:to>
    <xdr:pic>
      <xdr:nvPicPr>
        <xdr:cNvPr id="21" name="Picture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2"/>
        <a:stretch>
          <a:fillRect/>
        </a:stretch>
      </xdr:blipFill>
      <xdr:spPr>
        <a:xfrm>
          <a:off x="8829675" y="15744825"/>
          <a:ext cx="2336508" cy="4572375"/>
        </a:xfrm>
        <a:prstGeom prst="rect">
          <a:avLst/>
        </a:prstGeom>
      </xdr:spPr>
    </xdr:pic>
    <xdr:clientData/>
  </xdr:twoCellAnchor>
  <xdr:twoCellAnchor editAs="oneCell">
    <xdr:from>
      <xdr:col>20</xdr:col>
      <xdr:colOff>76200</xdr:colOff>
      <xdr:row>83</xdr:row>
      <xdr:rowOff>0</xdr:rowOff>
    </xdr:from>
    <xdr:to>
      <xdr:col>32</xdr:col>
      <xdr:colOff>596900</xdr:colOff>
      <xdr:row>110</xdr:row>
      <xdr:rowOff>85725</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8198" t="8152" r="8203" b="8066"/>
        <a:stretch/>
      </xdr:blipFill>
      <xdr:spPr>
        <a:xfrm>
          <a:off x="12315825" y="15725775"/>
          <a:ext cx="7839075" cy="5807075"/>
        </a:xfrm>
        <a:prstGeom prst="rect">
          <a:avLst/>
        </a:prstGeom>
      </xdr:spPr>
    </xdr:pic>
    <xdr:clientData/>
  </xdr:twoCellAnchor>
  <xdr:twoCellAnchor editAs="oneCell">
    <xdr:from>
      <xdr:col>5</xdr:col>
      <xdr:colOff>9525</xdr:colOff>
      <xdr:row>11</xdr:row>
      <xdr:rowOff>171450</xdr:rowOff>
    </xdr:from>
    <xdr:to>
      <xdr:col>18</xdr:col>
      <xdr:colOff>495300</xdr:colOff>
      <xdr:row>77</xdr:row>
      <xdr:rowOff>39584</xdr:rowOff>
    </xdr:to>
    <xdr:pic>
      <xdr:nvPicPr>
        <xdr:cNvPr id="12" name="Picture 11">
          <a:extLst>
            <a:ext uri="{FF2B5EF4-FFF2-40B4-BE49-F238E27FC236}">
              <a16:creationId xmlns:a16="http://schemas.microsoft.com/office/drawing/2014/main" id="{00000000-0008-0000-0000-00000C000000}"/>
            </a:ext>
          </a:extLst>
        </xdr:cNvPr>
        <xdr:cNvPicPr>
          <a:picLocks noChangeAspect="1"/>
        </xdr:cNvPicPr>
      </xdr:nvPicPr>
      <xdr:blipFill rotWithShape="1">
        <a:blip xmlns:r="http://schemas.openxmlformats.org/officeDocument/2006/relationships" r:embed="rId4"/>
        <a:srcRect t="9532" r="1832"/>
        <a:stretch/>
      </xdr:blipFill>
      <xdr:spPr>
        <a:xfrm>
          <a:off x="3057525" y="2266950"/>
          <a:ext cx="8458200" cy="12050609"/>
        </a:xfrm>
        <a:prstGeom prst="rect">
          <a:avLst/>
        </a:prstGeom>
      </xdr:spPr>
    </xdr:pic>
    <xdr:clientData/>
  </xdr:twoCellAnchor>
  <xdr:twoCellAnchor editAs="oneCell">
    <xdr:from>
      <xdr:col>19</xdr:col>
      <xdr:colOff>28575</xdr:colOff>
      <xdr:row>12</xdr:row>
      <xdr:rowOff>9525</xdr:rowOff>
    </xdr:from>
    <xdr:to>
      <xdr:col>29</xdr:col>
      <xdr:colOff>38924</xdr:colOff>
      <xdr:row>63</xdr:row>
      <xdr:rowOff>59118</xdr:rowOff>
    </xdr:to>
    <xdr:pic>
      <xdr:nvPicPr>
        <xdr:cNvPr id="14" name="Picture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5"/>
        <a:stretch>
          <a:fillRect/>
        </a:stretch>
      </xdr:blipFill>
      <xdr:spPr>
        <a:xfrm>
          <a:off x="11658600" y="2295525"/>
          <a:ext cx="6106349" cy="950791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29</xdr:col>
      <xdr:colOff>30619</xdr:colOff>
      <xdr:row>52</xdr:row>
      <xdr:rowOff>128563</xdr:rowOff>
    </xdr:from>
    <xdr:to>
      <xdr:col>40</xdr:col>
      <xdr:colOff>189824</xdr:colOff>
      <xdr:row>70</xdr:row>
      <xdr:rowOff>159746</xdr:rowOff>
    </xdr:to>
    <xdr:pic>
      <xdr:nvPicPr>
        <xdr:cNvPr id="2" name="Picture 1">
          <a:extLst>
            <a:ext uri="{FF2B5EF4-FFF2-40B4-BE49-F238E27FC236}">
              <a16:creationId xmlns:a16="http://schemas.microsoft.com/office/drawing/2014/main" id="{EE9A775A-21FA-464E-B65C-273F55A9FC6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439513" y="9928323"/>
          <a:ext cx="6909133" cy="3352965"/>
        </a:xfrm>
        <a:prstGeom prst="rect">
          <a:avLst/>
        </a:prstGeom>
      </xdr:spPr>
    </xdr:pic>
    <xdr:clientData/>
  </xdr:twoCellAnchor>
  <xdr:twoCellAnchor editAs="oneCell">
    <xdr:from>
      <xdr:col>28</xdr:col>
      <xdr:colOff>183242</xdr:colOff>
      <xdr:row>73</xdr:row>
      <xdr:rowOff>16350</xdr:rowOff>
    </xdr:from>
    <xdr:to>
      <xdr:col>39</xdr:col>
      <xdr:colOff>354692</xdr:colOff>
      <xdr:row>91</xdr:row>
      <xdr:rowOff>67150</xdr:rowOff>
    </xdr:to>
    <xdr:pic>
      <xdr:nvPicPr>
        <xdr:cNvPr id="3" name="Picture 2">
          <a:extLst>
            <a:ext uri="{FF2B5EF4-FFF2-40B4-BE49-F238E27FC236}">
              <a16:creationId xmlns:a16="http://schemas.microsoft.com/office/drawing/2014/main" id="{CFCE003C-2470-4633-BBC6-A1692945C44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978506" y="13681062"/>
          <a:ext cx="6924553" cy="3381375"/>
        </a:xfrm>
        <a:prstGeom prst="rect">
          <a:avLst/>
        </a:prstGeom>
      </xdr:spPr>
    </xdr:pic>
    <xdr:clientData/>
  </xdr:twoCellAnchor>
  <xdr:twoCellAnchor editAs="oneCell">
    <xdr:from>
      <xdr:col>32</xdr:col>
      <xdr:colOff>17540</xdr:colOff>
      <xdr:row>0</xdr:row>
      <xdr:rowOff>173182</xdr:rowOff>
    </xdr:from>
    <xdr:to>
      <xdr:col>35</xdr:col>
      <xdr:colOff>380192</xdr:colOff>
      <xdr:row>14</xdr:row>
      <xdr:rowOff>97781</xdr:rowOff>
    </xdr:to>
    <xdr:pic>
      <xdr:nvPicPr>
        <xdr:cNvPr id="4" name="Picture 3">
          <a:extLst>
            <a:ext uri="{FF2B5EF4-FFF2-40B4-BE49-F238E27FC236}">
              <a16:creationId xmlns:a16="http://schemas.microsoft.com/office/drawing/2014/main" id="{577AD005-635E-485A-B8EF-A0715C8BED18}"/>
            </a:ext>
          </a:extLst>
        </xdr:cNvPr>
        <xdr:cNvPicPr>
          <a:picLocks noChangeAspect="1"/>
        </xdr:cNvPicPr>
      </xdr:nvPicPr>
      <xdr:blipFill>
        <a:blip xmlns:r="http://schemas.openxmlformats.org/officeDocument/2006/relationships" r:embed="rId3"/>
        <a:stretch>
          <a:fillRect/>
        </a:stretch>
      </xdr:blipFill>
      <xdr:spPr>
        <a:xfrm>
          <a:off x="20147040" y="173182"/>
          <a:ext cx="2191452" cy="2665357"/>
        </a:xfrm>
        <a:prstGeom prst="rect">
          <a:avLst/>
        </a:prstGeom>
      </xdr:spPr>
    </xdr:pic>
    <xdr:clientData/>
  </xdr:twoCellAnchor>
  <xdr:twoCellAnchor editAs="oneCell">
    <xdr:from>
      <xdr:col>29</xdr:col>
      <xdr:colOff>15630</xdr:colOff>
      <xdr:row>23</xdr:row>
      <xdr:rowOff>18273</xdr:rowOff>
    </xdr:from>
    <xdr:to>
      <xdr:col>38</xdr:col>
      <xdr:colOff>390159</xdr:colOff>
      <xdr:row>46</xdr:row>
      <xdr:rowOff>142509</xdr:rowOff>
    </xdr:to>
    <xdr:pic>
      <xdr:nvPicPr>
        <xdr:cNvPr id="5" name="Picture 4">
          <a:extLst>
            <a:ext uri="{FF2B5EF4-FFF2-40B4-BE49-F238E27FC236}">
              <a16:creationId xmlns:a16="http://schemas.microsoft.com/office/drawing/2014/main" id="{5EBECF7F-7F28-4387-AC1C-C12E528E31D7}"/>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8219" t="8213" r="8491" b="8213"/>
        <a:stretch/>
      </xdr:blipFill>
      <xdr:spPr>
        <a:xfrm>
          <a:off x="18424524" y="4460220"/>
          <a:ext cx="5897198" cy="4389360"/>
        </a:xfrm>
        <a:prstGeom prst="rect">
          <a:avLst/>
        </a:prstGeom>
      </xdr:spPr>
    </xdr:pic>
    <xdr:clientData/>
  </xdr:twoCellAnchor>
  <xdr:twoCellAnchor editAs="oneCell">
    <xdr:from>
      <xdr:col>29</xdr:col>
      <xdr:colOff>50882</xdr:colOff>
      <xdr:row>97</xdr:row>
      <xdr:rowOff>12789</xdr:rowOff>
    </xdr:from>
    <xdr:to>
      <xdr:col>38</xdr:col>
      <xdr:colOff>430616</xdr:colOff>
      <xdr:row>120</xdr:row>
      <xdr:rowOff>179664</xdr:rowOff>
    </xdr:to>
    <xdr:pic>
      <xdr:nvPicPr>
        <xdr:cNvPr id="6" name="Picture 5">
          <a:extLst>
            <a:ext uri="{FF2B5EF4-FFF2-40B4-BE49-F238E27FC236}">
              <a16:creationId xmlns:a16="http://schemas.microsoft.com/office/drawing/2014/main" id="{1E3832FD-172F-49E2-AC2F-7B74DA00DB22}"/>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8219" t="8213" r="8221" b="8213"/>
        <a:stretch/>
      </xdr:blipFill>
      <xdr:spPr>
        <a:xfrm>
          <a:off x="18351582" y="17741989"/>
          <a:ext cx="5869309" cy="4399151"/>
        </a:xfrm>
        <a:prstGeom prst="rect">
          <a:avLst/>
        </a:prstGeom>
      </xdr:spPr>
    </xdr:pic>
    <xdr:clientData/>
  </xdr:twoCellAnchor>
  <xdr:twoCellAnchor editAs="oneCell">
    <xdr:from>
      <xdr:col>29</xdr:col>
      <xdr:colOff>25594</xdr:colOff>
      <xdr:row>124</xdr:row>
      <xdr:rowOff>11531</xdr:rowOff>
    </xdr:from>
    <xdr:to>
      <xdr:col>38</xdr:col>
      <xdr:colOff>409769</xdr:colOff>
      <xdr:row>148</xdr:row>
      <xdr:rowOff>1362</xdr:rowOff>
    </xdr:to>
    <xdr:pic>
      <xdr:nvPicPr>
        <xdr:cNvPr id="7" name="Picture 6">
          <a:extLst>
            <a:ext uri="{FF2B5EF4-FFF2-40B4-BE49-F238E27FC236}">
              <a16:creationId xmlns:a16="http://schemas.microsoft.com/office/drawing/2014/main" id="{84DD43B2-4110-477F-BC37-23917F010E52}"/>
            </a:ext>
          </a:extLst>
        </xdr:cNvPr>
        <xdr:cNvPicPr>
          <a:picLocks noChangeAspect="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l="8220" t="8092" r="8311" b="8092"/>
        <a:stretch/>
      </xdr:blipFill>
      <xdr:spPr>
        <a:xfrm>
          <a:off x="18326294" y="22712781"/>
          <a:ext cx="5867400" cy="4409431"/>
        </a:xfrm>
        <a:prstGeom prst="rect">
          <a:avLst/>
        </a:prstGeom>
      </xdr:spPr>
    </xdr:pic>
    <xdr:clientData/>
  </xdr:twoCellAnchor>
  <xdr:twoCellAnchor editAs="oneCell">
    <xdr:from>
      <xdr:col>29</xdr:col>
      <xdr:colOff>7698</xdr:colOff>
      <xdr:row>151</xdr:row>
      <xdr:rowOff>33951</xdr:rowOff>
    </xdr:from>
    <xdr:to>
      <xdr:col>38</xdr:col>
      <xdr:colOff>401398</xdr:colOff>
      <xdr:row>175</xdr:row>
      <xdr:rowOff>30776</xdr:rowOff>
    </xdr:to>
    <xdr:pic>
      <xdr:nvPicPr>
        <xdr:cNvPr id="8" name="Picture 7">
          <a:extLst>
            <a:ext uri="{FF2B5EF4-FFF2-40B4-BE49-F238E27FC236}">
              <a16:creationId xmlns:a16="http://schemas.microsoft.com/office/drawing/2014/main" id="{C60F4E7A-D589-43A7-BC8F-EE68D317E491}"/>
            </a:ext>
          </a:extLst>
        </xdr:cNvPr>
        <xdr:cNvPicPr>
          <a:picLocks noChangeAspect="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l="8220" t="8092" r="8130" b="7971"/>
        <a:stretch/>
      </xdr:blipFill>
      <xdr:spPr>
        <a:xfrm>
          <a:off x="18308398" y="27707251"/>
          <a:ext cx="5880100" cy="4413250"/>
        </a:xfrm>
        <a:prstGeom prst="rect">
          <a:avLst/>
        </a:prstGeom>
      </xdr:spPr>
    </xdr:pic>
    <xdr:clientData/>
  </xdr:twoCellAnchor>
  <xdr:twoCellAnchor editAs="oneCell">
    <xdr:from>
      <xdr:col>13</xdr:col>
      <xdr:colOff>16576</xdr:colOff>
      <xdr:row>23</xdr:row>
      <xdr:rowOff>35414</xdr:rowOff>
    </xdr:from>
    <xdr:to>
      <xdr:col>22</xdr:col>
      <xdr:colOff>380591</xdr:colOff>
      <xdr:row>47</xdr:row>
      <xdr:rowOff>49304</xdr:rowOff>
    </xdr:to>
    <xdr:pic>
      <xdr:nvPicPr>
        <xdr:cNvPr id="9" name="Picture 8">
          <a:extLst>
            <a:ext uri="{FF2B5EF4-FFF2-40B4-BE49-F238E27FC236}">
              <a16:creationId xmlns:a16="http://schemas.microsoft.com/office/drawing/2014/main" id="{6A66F22A-3E51-404E-88AC-BD196ADC17F6}"/>
            </a:ext>
          </a:extLst>
        </xdr:cNvPr>
        <xdr:cNvPicPr>
          <a:picLocks noChangeAspect="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8310" t="8213" r="8220" b="8092"/>
        <a:stretch/>
      </xdr:blipFill>
      <xdr:spPr>
        <a:xfrm>
          <a:off x="8607393" y="4477361"/>
          <a:ext cx="5886684" cy="4452662"/>
        </a:xfrm>
        <a:prstGeom prst="rect">
          <a:avLst/>
        </a:prstGeom>
      </xdr:spPr>
    </xdr:pic>
    <xdr:clientData/>
  </xdr:twoCellAnchor>
  <xdr:twoCellAnchor editAs="oneCell">
    <xdr:from>
      <xdr:col>23</xdr:col>
      <xdr:colOff>237558</xdr:colOff>
      <xdr:row>23</xdr:row>
      <xdr:rowOff>1332</xdr:rowOff>
    </xdr:from>
    <xdr:to>
      <xdr:col>27</xdr:col>
      <xdr:colOff>503235</xdr:colOff>
      <xdr:row>45</xdr:row>
      <xdr:rowOff>46741</xdr:rowOff>
    </xdr:to>
    <xdr:pic>
      <xdr:nvPicPr>
        <xdr:cNvPr id="10" name="Picture 9">
          <a:extLst>
            <a:ext uri="{FF2B5EF4-FFF2-40B4-BE49-F238E27FC236}">
              <a16:creationId xmlns:a16="http://schemas.microsoft.com/office/drawing/2014/main" id="{C6275DC8-1880-41BD-8691-4B5B2FFA51D6}"/>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4964673" y="4443279"/>
          <a:ext cx="2720197" cy="4121010"/>
        </a:xfrm>
        <a:prstGeom prst="rect">
          <a:avLst/>
        </a:prstGeom>
      </xdr:spPr>
    </xdr:pic>
    <xdr:clientData/>
  </xdr:twoCellAnchor>
  <xdr:twoCellAnchor editAs="oneCell">
    <xdr:from>
      <xdr:col>12</xdr:col>
      <xdr:colOff>11545</xdr:colOff>
      <xdr:row>124</xdr:row>
      <xdr:rowOff>11544</xdr:rowOff>
    </xdr:from>
    <xdr:to>
      <xdr:col>21</xdr:col>
      <xdr:colOff>410441</xdr:colOff>
      <xdr:row>148</xdr:row>
      <xdr:rowOff>46517</xdr:rowOff>
    </xdr:to>
    <xdr:pic>
      <xdr:nvPicPr>
        <xdr:cNvPr id="11" name="Picture 10">
          <a:extLst>
            <a:ext uri="{FF2B5EF4-FFF2-40B4-BE49-F238E27FC236}">
              <a16:creationId xmlns:a16="http://schemas.microsoft.com/office/drawing/2014/main" id="{3D14BED3-4966-46E8-AFD0-E4B7D72CFAB0}"/>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l="8311" t="8333" r="8311" b="8092"/>
        <a:stretch/>
      </xdr:blipFill>
      <xdr:spPr>
        <a:xfrm>
          <a:off x="7949045" y="22712794"/>
          <a:ext cx="5888471" cy="4451398"/>
        </a:xfrm>
        <a:prstGeom prst="rect">
          <a:avLst/>
        </a:prstGeom>
      </xdr:spPr>
    </xdr:pic>
    <xdr:clientData/>
  </xdr:twoCellAnchor>
  <xdr:twoCellAnchor editAs="oneCell">
    <xdr:from>
      <xdr:col>12</xdr:col>
      <xdr:colOff>27514</xdr:colOff>
      <xdr:row>97</xdr:row>
      <xdr:rowOff>5724</xdr:rowOff>
    </xdr:from>
    <xdr:to>
      <xdr:col>21</xdr:col>
      <xdr:colOff>435935</xdr:colOff>
      <xdr:row>121</xdr:row>
      <xdr:rowOff>19000</xdr:rowOff>
    </xdr:to>
    <xdr:pic>
      <xdr:nvPicPr>
        <xdr:cNvPr id="12" name="Picture 11">
          <a:extLst>
            <a:ext uri="{FF2B5EF4-FFF2-40B4-BE49-F238E27FC236}">
              <a16:creationId xmlns:a16="http://schemas.microsoft.com/office/drawing/2014/main" id="{539CB59C-7B50-4143-9D23-7B5927EBE036}"/>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8220" t="8333" r="8311" b="8454"/>
        <a:stretch/>
      </xdr:blipFill>
      <xdr:spPr>
        <a:xfrm>
          <a:off x="7965014" y="17734924"/>
          <a:ext cx="5894821" cy="4432877"/>
        </a:xfrm>
        <a:prstGeom prst="rect">
          <a:avLst/>
        </a:prstGeom>
      </xdr:spPr>
    </xdr:pic>
    <xdr:clientData/>
  </xdr:twoCellAnchor>
  <xdr:twoCellAnchor editAs="oneCell">
    <xdr:from>
      <xdr:col>23</xdr:col>
      <xdr:colOff>259963</xdr:colOff>
      <xdr:row>124</xdr:row>
      <xdr:rowOff>25594</xdr:rowOff>
    </xdr:from>
    <xdr:to>
      <xdr:col>28</xdr:col>
      <xdr:colOff>8572</xdr:colOff>
      <xdr:row>134</xdr:row>
      <xdr:rowOff>75311</xdr:rowOff>
    </xdr:to>
    <xdr:pic>
      <xdr:nvPicPr>
        <xdr:cNvPr id="13" name="Picture 12">
          <a:extLst>
            <a:ext uri="{FF2B5EF4-FFF2-40B4-BE49-F238E27FC236}">
              <a16:creationId xmlns:a16="http://schemas.microsoft.com/office/drawing/2014/main" id="{C8654611-66CA-4F97-BACC-BB3CB9342B4E}"/>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4903063" y="22726844"/>
          <a:ext cx="2793434" cy="1891218"/>
        </a:xfrm>
        <a:prstGeom prst="rect">
          <a:avLst/>
        </a:prstGeom>
      </xdr:spPr>
    </xdr:pic>
    <xdr:clientData/>
  </xdr:twoCellAnchor>
  <xdr:twoCellAnchor editAs="oneCell">
    <xdr:from>
      <xdr:col>23</xdr:col>
      <xdr:colOff>207115</xdr:colOff>
      <xdr:row>97</xdr:row>
      <xdr:rowOff>1880</xdr:rowOff>
    </xdr:from>
    <xdr:to>
      <xdr:col>27</xdr:col>
      <xdr:colOff>488258</xdr:colOff>
      <xdr:row>111</xdr:row>
      <xdr:rowOff>31108</xdr:rowOff>
    </xdr:to>
    <xdr:pic>
      <xdr:nvPicPr>
        <xdr:cNvPr id="14" name="Picture 13">
          <a:extLst>
            <a:ext uri="{FF2B5EF4-FFF2-40B4-BE49-F238E27FC236}">
              <a16:creationId xmlns:a16="http://schemas.microsoft.com/office/drawing/2014/main" id="{FA8B796B-A885-4560-B294-19E0D5C34BE5}"/>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4934230" y="19198418"/>
          <a:ext cx="2738838" cy="2590476"/>
        </a:xfrm>
        <a:prstGeom prst="rect">
          <a:avLst/>
        </a:prstGeom>
      </xdr:spPr>
    </xdr:pic>
    <xdr:clientData/>
  </xdr:twoCellAnchor>
  <xdr:twoCellAnchor editAs="oneCell">
    <xdr:from>
      <xdr:col>23</xdr:col>
      <xdr:colOff>341550</xdr:colOff>
      <xdr:row>150</xdr:row>
      <xdr:rowOff>183235</xdr:rowOff>
    </xdr:from>
    <xdr:to>
      <xdr:col>28</xdr:col>
      <xdr:colOff>83809</xdr:colOff>
      <xdr:row>171</xdr:row>
      <xdr:rowOff>153735</xdr:rowOff>
    </xdr:to>
    <xdr:pic>
      <xdr:nvPicPr>
        <xdr:cNvPr id="15" name="Picture 14">
          <a:extLst>
            <a:ext uri="{FF2B5EF4-FFF2-40B4-BE49-F238E27FC236}">
              <a16:creationId xmlns:a16="http://schemas.microsoft.com/office/drawing/2014/main" id="{3C90B71F-C6FD-4B98-96A8-DF064A120435}"/>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4984650" y="27672385"/>
          <a:ext cx="2793434" cy="3837651"/>
        </a:xfrm>
        <a:prstGeom prst="rect">
          <a:avLst/>
        </a:prstGeom>
      </xdr:spPr>
    </xdr:pic>
    <xdr:clientData/>
  </xdr:twoCellAnchor>
  <xdr:twoCellAnchor editAs="oneCell">
    <xdr:from>
      <xdr:col>12</xdr:col>
      <xdr:colOff>25592</xdr:colOff>
      <xdr:row>151</xdr:row>
      <xdr:rowOff>11686</xdr:rowOff>
    </xdr:from>
    <xdr:to>
      <xdr:col>21</xdr:col>
      <xdr:colOff>430838</xdr:colOff>
      <xdr:row>175</xdr:row>
      <xdr:rowOff>46131</xdr:rowOff>
    </xdr:to>
    <xdr:pic>
      <xdr:nvPicPr>
        <xdr:cNvPr id="16" name="Picture 15">
          <a:extLst>
            <a:ext uri="{FF2B5EF4-FFF2-40B4-BE49-F238E27FC236}">
              <a16:creationId xmlns:a16="http://schemas.microsoft.com/office/drawing/2014/main" id="{CDAFEC59-FEE2-4DD5-9CF0-3460EBDF878D}"/>
            </a:ext>
          </a:extLst>
        </xdr:cNvPr>
        <xdr:cNvPicPr>
          <a:picLocks noChangeAspect="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8310" t="8333" r="8220" b="7971"/>
        <a:stretch/>
      </xdr:blipFill>
      <xdr:spPr>
        <a:xfrm>
          <a:off x="7963092" y="27684986"/>
          <a:ext cx="5894821" cy="4457220"/>
        </a:xfrm>
        <a:prstGeom prst="rect">
          <a:avLst/>
        </a:prstGeom>
      </xdr:spPr>
    </xdr:pic>
    <xdr:clientData/>
  </xdr:twoCellAnchor>
  <xdr:twoCellAnchor editAs="oneCell">
    <xdr:from>
      <xdr:col>12</xdr:col>
      <xdr:colOff>58127</xdr:colOff>
      <xdr:row>51</xdr:row>
      <xdr:rowOff>173181</xdr:rowOff>
    </xdr:from>
    <xdr:to>
      <xdr:col>23</xdr:col>
      <xdr:colOff>245452</xdr:colOff>
      <xdr:row>70</xdr:row>
      <xdr:rowOff>64321</xdr:rowOff>
    </xdr:to>
    <xdr:pic>
      <xdr:nvPicPr>
        <xdr:cNvPr id="17" name="Picture 16">
          <a:extLst>
            <a:ext uri="{FF2B5EF4-FFF2-40B4-BE49-F238E27FC236}">
              <a16:creationId xmlns:a16="http://schemas.microsoft.com/office/drawing/2014/main" id="{3420D502-046D-4130-A893-FC0C51BEF33D}"/>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8035315" y="9789768"/>
          <a:ext cx="6937252" cy="3392920"/>
        </a:xfrm>
        <a:prstGeom prst="rect">
          <a:avLst/>
        </a:prstGeom>
      </xdr:spPr>
    </xdr:pic>
    <xdr:clientData/>
  </xdr:twoCellAnchor>
  <xdr:twoCellAnchor editAs="oneCell">
    <xdr:from>
      <xdr:col>11</xdr:col>
      <xdr:colOff>365906</xdr:colOff>
      <xdr:row>73</xdr:row>
      <xdr:rowOff>95687</xdr:rowOff>
    </xdr:from>
    <xdr:to>
      <xdr:col>22</xdr:col>
      <xdr:colOff>551113</xdr:colOff>
      <xdr:row>91</xdr:row>
      <xdr:rowOff>179117</xdr:rowOff>
    </xdr:to>
    <xdr:pic>
      <xdr:nvPicPr>
        <xdr:cNvPr id="18" name="Picture 17">
          <a:extLst>
            <a:ext uri="{FF2B5EF4-FFF2-40B4-BE49-F238E27FC236}">
              <a16:creationId xmlns:a16="http://schemas.microsoft.com/office/drawing/2014/main" id="{BD22DDE0-5819-4C6D-AEDE-E0BBD1B52FCC}"/>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7729464" y="13760399"/>
          <a:ext cx="6935135" cy="3420355"/>
        </a:xfrm>
        <a:prstGeom prst="rect">
          <a:avLst/>
        </a:prstGeom>
      </xdr:spPr>
    </xdr:pic>
    <xdr:clientData/>
  </xdr:twoCellAnchor>
  <xdr:twoCellAnchor editAs="oneCell">
    <xdr:from>
      <xdr:col>18</xdr:col>
      <xdr:colOff>603262</xdr:colOff>
      <xdr:row>1</xdr:row>
      <xdr:rowOff>8326</xdr:rowOff>
    </xdr:from>
    <xdr:to>
      <xdr:col>22</xdr:col>
      <xdr:colOff>331680</xdr:colOff>
      <xdr:row>15</xdr:row>
      <xdr:rowOff>793</xdr:rowOff>
    </xdr:to>
    <xdr:pic>
      <xdr:nvPicPr>
        <xdr:cNvPr id="19" name="Picture 18">
          <a:extLst>
            <a:ext uri="{FF2B5EF4-FFF2-40B4-BE49-F238E27FC236}">
              <a16:creationId xmlns:a16="http://schemas.microsoft.com/office/drawing/2014/main" id="{B3D5D63B-9604-4144-B25B-2521185DF894}"/>
            </a:ext>
          </a:extLst>
        </xdr:cNvPr>
        <xdr:cNvPicPr>
          <a:picLocks noChangeAspect="1"/>
        </xdr:cNvPicPr>
      </xdr:nvPicPr>
      <xdr:blipFill>
        <a:blip xmlns:r="http://schemas.openxmlformats.org/officeDocument/2006/relationships" r:embed="rId18"/>
        <a:stretch>
          <a:fillRect/>
        </a:stretch>
      </xdr:blipFill>
      <xdr:spPr>
        <a:xfrm>
          <a:off x="12262228" y="246451"/>
          <a:ext cx="2186113" cy="266187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600075</xdr:colOff>
      <xdr:row>39</xdr:row>
      <xdr:rowOff>15875</xdr:rowOff>
    </xdr:from>
    <xdr:to>
      <xdr:col>2</xdr:col>
      <xdr:colOff>133256</xdr:colOff>
      <xdr:row>43</xdr:row>
      <xdr:rowOff>114195</xdr:rowOff>
    </xdr:to>
    <xdr:pic>
      <xdr:nvPicPr>
        <xdr:cNvPr id="2" name="Picture 1">
          <a:extLst>
            <a:ext uri="{FF2B5EF4-FFF2-40B4-BE49-F238E27FC236}">
              <a16:creationId xmlns:a16="http://schemas.microsoft.com/office/drawing/2014/main" id="{27ADFDBA-6F92-451C-8F82-D25B4C5FA89A}"/>
            </a:ext>
          </a:extLst>
        </xdr:cNvPr>
        <xdr:cNvPicPr>
          <a:picLocks noChangeAspect="1"/>
        </xdr:cNvPicPr>
      </xdr:nvPicPr>
      <xdr:blipFill>
        <a:blip xmlns:r="http://schemas.openxmlformats.org/officeDocument/2006/relationships" r:embed="rId1"/>
        <a:stretch>
          <a:fillRect/>
        </a:stretch>
      </xdr:blipFill>
      <xdr:spPr>
        <a:xfrm>
          <a:off x="600075" y="5492750"/>
          <a:ext cx="752381" cy="822220"/>
        </a:xfrm>
        <a:prstGeom prst="rect">
          <a:avLst/>
        </a:prstGeom>
      </xdr:spPr>
    </xdr:pic>
    <xdr:clientData/>
  </xdr:twoCellAnchor>
  <xdr:twoCellAnchor editAs="oneCell">
    <xdr:from>
      <xdr:col>0</xdr:col>
      <xdr:colOff>587375</xdr:colOff>
      <xdr:row>32</xdr:row>
      <xdr:rowOff>177800</xdr:rowOff>
    </xdr:from>
    <xdr:to>
      <xdr:col>2</xdr:col>
      <xdr:colOff>212620</xdr:colOff>
      <xdr:row>36</xdr:row>
      <xdr:rowOff>136438</xdr:rowOff>
    </xdr:to>
    <xdr:pic>
      <xdr:nvPicPr>
        <xdr:cNvPr id="3" name="Picture 2">
          <a:extLst>
            <a:ext uri="{FF2B5EF4-FFF2-40B4-BE49-F238E27FC236}">
              <a16:creationId xmlns:a16="http://schemas.microsoft.com/office/drawing/2014/main" id="{85B932A9-431A-4C11-B2CF-113BC108A8ED}"/>
            </a:ext>
          </a:extLst>
        </xdr:cNvPr>
        <xdr:cNvPicPr>
          <a:picLocks noChangeAspect="1"/>
        </xdr:cNvPicPr>
      </xdr:nvPicPr>
      <xdr:blipFill>
        <a:blip xmlns:r="http://schemas.openxmlformats.org/officeDocument/2006/relationships" r:embed="rId2"/>
        <a:stretch>
          <a:fillRect/>
        </a:stretch>
      </xdr:blipFill>
      <xdr:spPr>
        <a:xfrm>
          <a:off x="587375" y="4387850"/>
          <a:ext cx="844445" cy="682538"/>
        </a:xfrm>
        <a:prstGeom prst="rect">
          <a:avLst/>
        </a:prstGeom>
      </xdr:spPr>
    </xdr:pic>
    <xdr:clientData/>
  </xdr:twoCellAnchor>
  <xdr:twoCellAnchor editAs="oneCell">
    <xdr:from>
      <xdr:col>1</xdr:col>
      <xdr:colOff>9525</xdr:colOff>
      <xdr:row>26</xdr:row>
      <xdr:rowOff>9525</xdr:rowOff>
    </xdr:from>
    <xdr:to>
      <xdr:col>2</xdr:col>
      <xdr:colOff>238020</xdr:colOff>
      <xdr:row>30</xdr:row>
      <xdr:rowOff>104670</xdr:rowOff>
    </xdr:to>
    <xdr:pic>
      <xdr:nvPicPr>
        <xdr:cNvPr id="4" name="Picture 3">
          <a:extLst>
            <a:ext uri="{FF2B5EF4-FFF2-40B4-BE49-F238E27FC236}">
              <a16:creationId xmlns:a16="http://schemas.microsoft.com/office/drawing/2014/main" id="{FC872D60-40CB-4964-90F4-64F502CB9461}"/>
            </a:ext>
          </a:extLst>
        </xdr:cNvPr>
        <xdr:cNvPicPr>
          <a:picLocks noChangeAspect="1"/>
        </xdr:cNvPicPr>
      </xdr:nvPicPr>
      <xdr:blipFill>
        <a:blip xmlns:r="http://schemas.openxmlformats.org/officeDocument/2006/relationships" r:embed="rId3"/>
        <a:stretch>
          <a:fillRect/>
        </a:stretch>
      </xdr:blipFill>
      <xdr:spPr>
        <a:xfrm>
          <a:off x="619125" y="3133725"/>
          <a:ext cx="838095" cy="819045"/>
        </a:xfrm>
        <a:prstGeom prst="rect">
          <a:avLst/>
        </a:prstGeom>
      </xdr:spPr>
    </xdr:pic>
    <xdr:clientData/>
  </xdr:twoCellAnchor>
  <xdr:twoCellAnchor editAs="oneCell">
    <xdr:from>
      <xdr:col>1</xdr:col>
      <xdr:colOff>9525</xdr:colOff>
      <xdr:row>49</xdr:row>
      <xdr:rowOff>9525</xdr:rowOff>
    </xdr:from>
    <xdr:to>
      <xdr:col>2</xdr:col>
      <xdr:colOff>504687</xdr:colOff>
      <xdr:row>53</xdr:row>
      <xdr:rowOff>171338</xdr:rowOff>
    </xdr:to>
    <xdr:pic>
      <xdr:nvPicPr>
        <xdr:cNvPr id="5" name="Picture 4">
          <a:extLst>
            <a:ext uri="{FF2B5EF4-FFF2-40B4-BE49-F238E27FC236}">
              <a16:creationId xmlns:a16="http://schemas.microsoft.com/office/drawing/2014/main" id="{3C59BF2A-4A68-45EA-94A2-CD59E893D717}"/>
            </a:ext>
          </a:extLst>
        </xdr:cNvPr>
        <xdr:cNvPicPr>
          <a:picLocks noChangeAspect="1"/>
        </xdr:cNvPicPr>
      </xdr:nvPicPr>
      <xdr:blipFill>
        <a:blip xmlns:r="http://schemas.openxmlformats.org/officeDocument/2006/relationships" r:embed="rId4"/>
        <a:stretch>
          <a:fillRect/>
        </a:stretch>
      </xdr:blipFill>
      <xdr:spPr>
        <a:xfrm>
          <a:off x="619125" y="7296150"/>
          <a:ext cx="1104762" cy="885713"/>
        </a:xfrm>
        <a:prstGeom prst="rect">
          <a:avLst/>
        </a:prstGeom>
      </xdr:spPr>
    </xdr:pic>
    <xdr:clientData/>
  </xdr:twoCellAnchor>
  <xdr:twoCellAnchor editAs="oneCell">
    <xdr:from>
      <xdr:col>1</xdr:col>
      <xdr:colOff>0</xdr:colOff>
      <xdr:row>57</xdr:row>
      <xdr:rowOff>0</xdr:rowOff>
    </xdr:from>
    <xdr:to>
      <xdr:col>2</xdr:col>
      <xdr:colOff>288812</xdr:colOff>
      <xdr:row>61</xdr:row>
      <xdr:rowOff>22131</xdr:rowOff>
    </xdr:to>
    <xdr:pic>
      <xdr:nvPicPr>
        <xdr:cNvPr id="6" name="Picture 5">
          <a:extLst>
            <a:ext uri="{FF2B5EF4-FFF2-40B4-BE49-F238E27FC236}">
              <a16:creationId xmlns:a16="http://schemas.microsoft.com/office/drawing/2014/main" id="{1F142A63-9184-4B7E-895B-72B0604C2182}"/>
            </a:ext>
          </a:extLst>
        </xdr:cNvPr>
        <xdr:cNvPicPr>
          <a:picLocks noChangeAspect="1"/>
        </xdr:cNvPicPr>
      </xdr:nvPicPr>
      <xdr:blipFill>
        <a:blip xmlns:r="http://schemas.openxmlformats.org/officeDocument/2006/relationships" r:embed="rId5"/>
        <a:stretch>
          <a:fillRect/>
        </a:stretch>
      </xdr:blipFill>
      <xdr:spPr>
        <a:xfrm>
          <a:off x="609600" y="8734425"/>
          <a:ext cx="898412" cy="746031"/>
        </a:xfrm>
        <a:prstGeom prst="rect">
          <a:avLst/>
        </a:prstGeom>
      </xdr:spPr>
    </xdr:pic>
    <xdr:clientData/>
  </xdr:twoCellAnchor>
  <xdr:twoCellAnchor editAs="oneCell">
    <xdr:from>
      <xdr:col>3</xdr:col>
      <xdr:colOff>190500</xdr:colOff>
      <xdr:row>26</xdr:row>
      <xdr:rowOff>104775</xdr:rowOff>
    </xdr:from>
    <xdr:to>
      <xdr:col>14</xdr:col>
      <xdr:colOff>598915</xdr:colOff>
      <xdr:row>81</xdr:row>
      <xdr:rowOff>38100</xdr:rowOff>
    </xdr:to>
    <xdr:pic>
      <xdr:nvPicPr>
        <xdr:cNvPr id="7" name="Picture 6">
          <a:extLst>
            <a:ext uri="{FF2B5EF4-FFF2-40B4-BE49-F238E27FC236}">
              <a16:creationId xmlns:a16="http://schemas.microsoft.com/office/drawing/2014/main" id="{78FE6AD5-87DF-453F-B424-E246243908D2}"/>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019300" y="3228975"/>
          <a:ext cx="7114015" cy="988695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jjb08103/OneDrive%20-%20University%20of%20Strathclyde/Docs/Teaching/EE317/EE317%20Assessed%20Coursework%202022-23/Instructions%20and%20Templates/Caaf%20Water%20with%20blanks%20v3,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1 Gross Flow"/>
      <sheetName val="2 References"/>
      <sheetName val="2 Correlate"/>
      <sheetName val="3 Design Flow"/>
      <sheetName val="4 Gross Head"/>
      <sheetName val="5 Pipe"/>
      <sheetName val="6 Turbine"/>
    </sheetNames>
    <sheetDataSet>
      <sheetData sheetId="0">
        <row r="101">
          <cell r="C101"/>
        </row>
        <row r="102">
          <cell r="C102"/>
        </row>
        <row r="103">
          <cell r="C103"/>
        </row>
        <row r="207">
          <cell r="T207">
            <v>5.0199999999999996</v>
          </cell>
        </row>
        <row r="217">
          <cell r="T217">
            <v>0.9</v>
          </cell>
        </row>
        <row r="218">
          <cell r="T218">
            <v>1.8160000000000001</v>
          </cell>
        </row>
        <row r="219">
          <cell r="T219">
            <v>2.1800000000000002</v>
          </cell>
        </row>
        <row r="220">
          <cell r="T220">
            <v>1.1000000000000001</v>
          </cell>
        </row>
      </sheetData>
      <sheetData sheetId="1"/>
      <sheetData sheetId="2">
        <row r="9">
          <cell r="G9">
            <v>0.95</v>
          </cell>
        </row>
        <row r="10">
          <cell r="G10">
            <v>0.7</v>
          </cell>
        </row>
        <row r="11">
          <cell r="G11">
            <v>0.5</v>
          </cell>
        </row>
        <row r="12">
          <cell r="G12">
            <v>0.1</v>
          </cell>
        </row>
        <row r="13">
          <cell r="G13">
            <v>0.05</v>
          </cell>
        </row>
      </sheetData>
      <sheetData sheetId="3">
        <row r="4">
          <cell r="G4">
            <v>0.95</v>
          </cell>
        </row>
        <row r="8">
          <cell r="I8"/>
        </row>
      </sheetData>
      <sheetData sheetId="4"/>
      <sheetData sheetId="5">
        <row r="12">
          <cell r="F12"/>
          <cell r="G12"/>
        </row>
        <row r="19">
          <cell r="E19">
            <v>1E-4</v>
          </cell>
        </row>
        <row r="32">
          <cell r="F32"/>
          <cell r="G32"/>
        </row>
        <row r="33">
          <cell r="L33">
            <v>998</v>
          </cell>
        </row>
        <row r="35">
          <cell r="F35">
            <v>0</v>
          </cell>
          <cell r="G35">
            <v>0</v>
          </cell>
          <cell r="L35">
            <v>1.307E-3</v>
          </cell>
        </row>
        <row r="39">
          <cell r="F39" t="e">
            <v>#DIV/0!</v>
          </cell>
          <cell r="G39" t="e">
            <v>#DIV/0!</v>
          </cell>
        </row>
        <row r="40">
          <cell r="F40" t="e">
            <v>#DIV/0!</v>
          </cell>
          <cell r="G40" t="e">
            <v>#DIV/0!</v>
          </cell>
        </row>
        <row r="41">
          <cell r="F41" t="e">
            <v>#DIV/0!</v>
          </cell>
          <cell r="G41" t="e">
            <v>#DIV/0!</v>
          </cell>
        </row>
        <row r="44">
          <cell r="F44" t="e">
            <v>#DIV/0!</v>
          </cell>
          <cell r="G44" t="e">
            <v>#DIV/0!</v>
          </cell>
        </row>
        <row r="45">
          <cell r="F45">
            <v>0</v>
          </cell>
          <cell r="G45">
            <v>0</v>
          </cell>
        </row>
        <row r="46">
          <cell r="F46" t="e">
            <v>#DIV/0!</v>
          </cell>
          <cell r="G46" t="e">
            <v>#DIV/0!</v>
          </cell>
        </row>
        <row r="47">
          <cell r="F47" t="e">
            <v>#DIV/0!</v>
          </cell>
          <cell r="G47" t="e">
            <v>#DIV/0!</v>
          </cell>
        </row>
        <row r="48">
          <cell r="F48" t="e">
            <v>#DIV/0!</v>
          </cell>
          <cell r="G48" t="e">
            <v>#DIV/0!</v>
          </cell>
        </row>
        <row r="49">
          <cell r="F49" t="e">
            <v>#DIV/0!</v>
          </cell>
          <cell r="G49" t="e">
            <v>#DIV/0!</v>
          </cell>
        </row>
      </sheetData>
      <sheetData sheetId="6"/>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H225"/>
  <sheetViews>
    <sheetView topLeftCell="A93" zoomScale="55" zoomScaleNormal="55" workbookViewId="0">
      <selection activeCell="G123" sqref="G123"/>
    </sheetView>
  </sheetViews>
  <sheetFormatPr defaultColWidth="8.7265625" defaultRowHeight="14.5" x14ac:dyDescent="0.35"/>
  <cols>
    <col min="1" max="3" width="8.7265625" style="9"/>
    <col min="4" max="4" width="8.7265625" style="9" customWidth="1"/>
    <col min="5" max="6" width="8.7265625" style="9"/>
    <col min="7" max="7" width="8.7265625" style="9" customWidth="1"/>
    <col min="8" max="8" width="8.7265625" style="9"/>
    <col min="9" max="9" width="9.453125" style="9" bestFit="1" customWidth="1"/>
    <col min="10" max="16384" width="8.7265625" style="9"/>
  </cols>
  <sheetData>
    <row r="1" spans="1:34" ht="19" thickBot="1" x14ac:dyDescent="0.5">
      <c r="A1"/>
      <c r="B1" s="100" t="s">
        <v>36</v>
      </c>
      <c r="C1"/>
      <c r="D1"/>
      <c r="E1"/>
      <c r="F1"/>
      <c r="G1" s="100" t="s">
        <v>344</v>
      </c>
      <c r="AH1" s="16"/>
    </row>
    <row r="2" spans="1:34" ht="15.65" customHeight="1" thickBot="1" x14ac:dyDescent="0.4">
      <c r="A2"/>
      <c r="B2" s="21" t="s">
        <v>34</v>
      </c>
      <c r="C2"/>
      <c r="D2"/>
      <c r="E2"/>
      <c r="F2"/>
      <c r="G2" s="24"/>
      <c r="H2"/>
      <c r="I2" s="25" t="s">
        <v>237</v>
      </c>
      <c r="AH2" s="16"/>
    </row>
    <row r="3" spans="1:34" ht="15.65" customHeight="1" thickBot="1" x14ac:dyDescent="0.4">
      <c r="A3"/>
      <c r="B3" s="22" t="s">
        <v>37</v>
      </c>
      <c r="C3"/>
      <c r="D3"/>
      <c r="E3"/>
      <c r="F3"/>
      <c r="G3" s="26"/>
      <c r="H3"/>
      <c r="I3" s="25" t="s">
        <v>238</v>
      </c>
      <c r="AH3" s="16"/>
    </row>
    <row r="4" spans="1:34" ht="15" thickBot="1" x14ac:dyDescent="0.4">
      <c r="A4"/>
      <c r="B4" s="21"/>
      <c r="C4"/>
      <c r="D4"/>
      <c r="E4"/>
      <c r="F4"/>
      <c r="G4" s="27"/>
      <c r="H4" s="28"/>
      <c r="I4" s="25" t="s">
        <v>236</v>
      </c>
      <c r="AH4" s="16"/>
    </row>
    <row r="5" spans="1:34" x14ac:dyDescent="0.35">
      <c r="A5"/>
      <c r="B5" s="21"/>
      <c r="C5"/>
      <c r="D5"/>
      <c r="E5"/>
      <c r="F5"/>
      <c r="G5" s="29"/>
      <c r="H5" s="30"/>
      <c r="I5" s="25" t="s">
        <v>252</v>
      </c>
      <c r="AH5" s="16"/>
    </row>
    <row r="6" spans="1:34" x14ac:dyDescent="0.35">
      <c r="A6"/>
      <c r="B6"/>
      <c r="C6"/>
      <c r="D6"/>
      <c r="E6"/>
      <c r="F6"/>
      <c r="G6" s="31"/>
      <c r="H6"/>
      <c r="I6" s="25" t="s">
        <v>239</v>
      </c>
      <c r="AH6" s="16"/>
    </row>
    <row r="7" spans="1:34" x14ac:dyDescent="0.35">
      <c r="A7"/>
      <c r="B7"/>
      <c r="C7"/>
      <c r="D7"/>
      <c r="E7"/>
      <c r="F7"/>
      <c r="G7"/>
      <c r="AH7" s="16"/>
    </row>
    <row r="8" spans="1:34" ht="21" x14ac:dyDescent="0.5">
      <c r="A8"/>
      <c r="B8" s="132" t="s">
        <v>345</v>
      </c>
      <c r="C8"/>
      <c r="D8"/>
      <c r="E8"/>
      <c r="F8"/>
      <c r="G8"/>
      <c r="AH8" s="16"/>
    </row>
    <row r="9" spans="1:34" ht="21" x14ac:dyDescent="0.5">
      <c r="A9"/>
      <c r="B9" s="132"/>
      <c r="C9"/>
      <c r="D9"/>
      <c r="E9"/>
      <c r="F9"/>
      <c r="G9"/>
      <c r="AH9" s="16"/>
    </row>
    <row r="10" spans="1:34" ht="18.5" x14ac:dyDescent="0.45">
      <c r="A10"/>
      <c r="B10" s="100" t="s">
        <v>389</v>
      </c>
      <c r="C10"/>
      <c r="D10"/>
      <c r="E10"/>
      <c r="F10"/>
      <c r="G10"/>
      <c r="AH10" s="16"/>
    </row>
    <row r="11" spans="1:34" ht="18.5" x14ac:dyDescent="0.45">
      <c r="A11"/>
      <c r="B11" s="100"/>
      <c r="C11"/>
      <c r="D11"/>
      <c r="E11"/>
      <c r="F11"/>
      <c r="G11"/>
      <c r="AH11" s="16"/>
    </row>
    <row r="12" spans="1:34" ht="15" thickBot="1" x14ac:dyDescent="0.4">
      <c r="A12"/>
      <c r="B12"/>
      <c r="C12"/>
      <c r="D12"/>
      <c r="E12"/>
      <c r="F12"/>
      <c r="G12"/>
      <c r="AH12" s="16"/>
    </row>
    <row r="13" spans="1:34" ht="29" x14ac:dyDescent="0.35">
      <c r="A13"/>
      <c r="B13" s="165" t="s">
        <v>301</v>
      </c>
      <c r="C13" s="165" t="s">
        <v>301</v>
      </c>
      <c r="D13" s="166" t="s">
        <v>88</v>
      </c>
      <c r="E13"/>
      <c r="F13"/>
      <c r="G13"/>
      <c r="AH13" s="16"/>
    </row>
    <row r="14" spans="1:34" x14ac:dyDescent="0.35">
      <c r="A14"/>
      <c r="B14" s="88" t="s">
        <v>292</v>
      </c>
      <c r="C14" s="91">
        <v>0.125</v>
      </c>
      <c r="D14" s="92">
        <v>5</v>
      </c>
      <c r="E14"/>
      <c r="F14"/>
      <c r="G14"/>
      <c r="AH14" s="16"/>
    </row>
    <row r="15" spans="1:34" x14ac:dyDescent="0.35">
      <c r="A15"/>
      <c r="B15" s="88" t="s">
        <v>293</v>
      </c>
      <c r="C15" s="93">
        <v>0.25</v>
      </c>
      <c r="D15" s="94">
        <v>4</v>
      </c>
      <c r="E15"/>
      <c r="F15"/>
      <c r="G15"/>
      <c r="AH15" s="16"/>
    </row>
    <row r="16" spans="1:34" x14ac:dyDescent="0.35">
      <c r="A16"/>
      <c r="B16" s="88" t="s">
        <v>294</v>
      </c>
      <c r="C16" s="93">
        <v>0.375</v>
      </c>
      <c r="D16" s="94">
        <v>4</v>
      </c>
      <c r="E16"/>
      <c r="F16"/>
      <c r="G16"/>
      <c r="AH16" s="16"/>
    </row>
    <row r="17" spans="1:34" x14ac:dyDescent="0.35">
      <c r="A17"/>
      <c r="B17" s="88" t="s">
        <v>295</v>
      </c>
      <c r="C17" s="93">
        <v>0.5</v>
      </c>
      <c r="D17" s="94">
        <v>2</v>
      </c>
      <c r="E17"/>
      <c r="F17"/>
      <c r="G17"/>
      <c r="AH17" s="16"/>
    </row>
    <row r="18" spans="1:34" x14ac:dyDescent="0.35">
      <c r="A18"/>
      <c r="B18" s="88" t="s">
        <v>296</v>
      </c>
      <c r="C18" s="93">
        <v>0.625</v>
      </c>
      <c r="D18" s="94">
        <v>2</v>
      </c>
      <c r="E18"/>
      <c r="F18"/>
      <c r="G18"/>
      <c r="AH18" s="16"/>
    </row>
    <row r="19" spans="1:34" x14ac:dyDescent="0.35">
      <c r="A19"/>
      <c r="B19" s="88" t="s">
        <v>297</v>
      </c>
      <c r="C19" s="93">
        <v>0.75</v>
      </c>
      <c r="D19" s="94">
        <v>5</v>
      </c>
      <c r="E19"/>
      <c r="F19"/>
      <c r="G19"/>
      <c r="AH19" s="16"/>
    </row>
    <row r="20" spans="1:34" x14ac:dyDescent="0.35">
      <c r="A20"/>
      <c r="B20" s="88" t="s">
        <v>298</v>
      </c>
      <c r="C20" s="93">
        <v>0.875</v>
      </c>
      <c r="D20" s="94">
        <v>3</v>
      </c>
      <c r="E20"/>
      <c r="F20"/>
      <c r="G20"/>
      <c r="AH20" s="16"/>
    </row>
    <row r="21" spans="1:34" ht="15" thickBot="1" x14ac:dyDescent="0.4">
      <c r="A21"/>
      <c r="B21" s="89">
        <v>1</v>
      </c>
      <c r="C21" s="95">
        <v>1</v>
      </c>
      <c r="D21" s="96">
        <v>16</v>
      </c>
      <c r="E21"/>
      <c r="F21"/>
      <c r="G21"/>
      <c r="AH21" s="16"/>
    </row>
    <row r="22" spans="1:34" ht="15" thickBot="1" x14ac:dyDescent="0.4">
      <c r="A22"/>
      <c r="B22" s="85"/>
      <c r="C22" s="87" t="s">
        <v>299</v>
      </c>
      <c r="D22" s="90">
        <f>SUM(square_count)</f>
        <v>41</v>
      </c>
      <c r="E22"/>
      <c r="F22"/>
      <c r="G22"/>
      <c r="AH22" s="16"/>
    </row>
    <row r="23" spans="1:34" x14ac:dyDescent="0.35">
      <c r="A23"/>
      <c r="B23"/>
      <c r="C23"/>
      <c r="D23"/>
      <c r="E23"/>
      <c r="F23"/>
      <c r="G23"/>
      <c r="AH23" s="16"/>
    </row>
    <row r="24" spans="1:34" x14ac:dyDescent="0.35">
      <c r="A24"/>
      <c r="B24" s="23" t="s">
        <v>232</v>
      </c>
      <c r="C24"/>
      <c r="D24"/>
      <c r="E24"/>
      <c r="F24"/>
      <c r="G24"/>
      <c r="AH24" s="16"/>
    </row>
    <row r="25" spans="1:34" x14ac:dyDescent="0.35">
      <c r="A25"/>
      <c r="B25"/>
      <c r="C25"/>
      <c r="D25"/>
      <c r="E25"/>
      <c r="F25"/>
      <c r="G25"/>
      <c r="AH25" s="16"/>
    </row>
    <row r="26" spans="1:34" x14ac:dyDescent="0.35">
      <c r="A26"/>
      <c r="B26" t="s">
        <v>86</v>
      </c>
      <c r="C26"/>
      <c r="D26"/>
      <c r="E26"/>
      <c r="F26"/>
      <c r="G26"/>
      <c r="AH26" s="16"/>
    </row>
    <row r="27" spans="1:34" ht="15" thickBot="1" x14ac:dyDescent="0.4">
      <c r="A27"/>
      <c r="B27" t="s">
        <v>87</v>
      </c>
      <c r="C27"/>
      <c r="D27"/>
      <c r="E27"/>
      <c r="F27"/>
      <c r="G27"/>
      <c r="AH27" s="16"/>
    </row>
    <row r="28" spans="1:34" ht="15" thickBot="1" x14ac:dyDescent="0.4">
      <c r="A28"/>
      <c r="B28" s="1">
        <f>C14*D14+C15*D15+C16*D16+C17*D17+C18*D18+C19*D19+C20*D20+C21*D21</f>
        <v>27.75</v>
      </c>
      <c r="C28" t="s">
        <v>84</v>
      </c>
      <c r="D28"/>
      <c r="E28"/>
      <c r="F28"/>
      <c r="G28"/>
      <c r="AH28" s="16"/>
    </row>
    <row r="29" spans="1:34" x14ac:dyDescent="0.35">
      <c r="A29"/>
      <c r="B29"/>
      <c r="C29"/>
      <c r="D29"/>
      <c r="E29"/>
      <c r="F29"/>
      <c r="G29"/>
      <c r="AH29" s="16"/>
    </row>
    <row r="30" spans="1:34" x14ac:dyDescent="0.35">
      <c r="A30"/>
      <c r="B30"/>
      <c r="C30"/>
      <c r="D30"/>
      <c r="E30"/>
      <c r="F30"/>
      <c r="G30"/>
      <c r="AH30" s="16"/>
    </row>
    <row r="31" spans="1:34" x14ac:dyDescent="0.35">
      <c r="A31"/>
      <c r="B31"/>
      <c r="C31"/>
      <c r="D31"/>
      <c r="E31"/>
      <c r="F31"/>
      <c r="G31"/>
      <c r="AH31" s="16"/>
    </row>
    <row r="32" spans="1:34" x14ac:dyDescent="0.35">
      <c r="A32"/>
      <c r="B32"/>
      <c r="C32"/>
      <c r="D32"/>
      <c r="E32"/>
      <c r="F32"/>
      <c r="G32"/>
      <c r="AH32" s="16"/>
    </row>
    <row r="33" spans="1:34" x14ac:dyDescent="0.35">
      <c r="A33"/>
      <c r="B33"/>
      <c r="C33"/>
      <c r="D33"/>
      <c r="E33"/>
      <c r="F33"/>
      <c r="G33"/>
      <c r="AH33" s="16"/>
    </row>
    <row r="34" spans="1:34" x14ac:dyDescent="0.35">
      <c r="A34"/>
      <c r="B34"/>
      <c r="C34"/>
      <c r="D34"/>
      <c r="E34"/>
      <c r="F34"/>
      <c r="G34"/>
      <c r="AH34" s="16"/>
    </row>
    <row r="35" spans="1:34" x14ac:dyDescent="0.35">
      <c r="A35"/>
      <c r="B35"/>
      <c r="C35"/>
      <c r="D35"/>
      <c r="E35"/>
      <c r="F35"/>
      <c r="G35"/>
      <c r="AH35" s="16"/>
    </row>
    <row r="36" spans="1:34" x14ac:dyDescent="0.35">
      <c r="A36"/>
      <c r="B36"/>
      <c r="C36"/>
      <c r="D36"/>
      <c r="E36"/>
      <c r="F36"/>
      <c r="G36"/>
      <c r="AH36" s="16"/>
    </row>
    <row r="37" spans="1:34" x14ac:dyDescent="0.35">
      <c r="A37"/>
      <c r="B37"/>
      <c r="C37"/>
      <c r="D37"/>
      <c r="E37"/>
      <c r="F37"/>
      <c r="G37"/>
      <c r="AH37" s="16"/>
    </row>
    <row r="38" spans="1:34" x14ac:dyDescent="0.35">
      <c r="A38"/>
      <c r="B38"/>
      <c r="C38"/>
      <c r="D38"/>
      <c r="E38"/>
      <c r="F38"/>
      <c r="G38"/>
      <c r="AH38" s="16"/>
    </row>
    <row r="39" spans="1:34" x14ac:dyDescent="0.35">
      <c r="A39"/>
      <c r="B39"/>
      <c r="C39"/>
      <c r="D39"/>
      <c r="E39"/>
      <c r="F39"/>
      <c r="G39"/>
      <c r="AH39" s="16"/>
    </row>
    <row r="40" spans="1:34" x14ac:dyDescent="0.35">
      <c r="A40"/>
      <c r="B40"/>
      <c r="C40"/>
      <c r="D40"/>
      <c r="E40"/>
      <c r="F40"/>
      <c r="G40"/>
      <c r="AH40" s="16"/>
    </row>
    <row r="41" spans="1:34" x14ac:dyDescent="0.35">
      <c r="A41"/>
      <c r="B41"/>
      <c r="C41"/>
      <c r="D41"/>
      <c r="E41"/>
      <c r="F41"/>
      <c r="G41"/>
      <c r="AH41" s="16"/>
    </row>
    <row r="42" spans="1:34" x14ac:dyDescent="0.35">
      <c r="A42"/>
      <c r="B42"/>
      <c r="C42"/>
      <c r="D42"/>
      <c r="E42"/>
      <c r="F42"/>
      <c r="G42"/>
      <c r="AH42" s="16"/>
    </row>
    <row r="43" spans="1:34" x14ac:dyDescent="0.35">
      <c r="A43"/>
      <c r="B43"/>
      <c r="C43"/>
      <c r="D43"/>
      <c r="E43"/>
      <c r="F43"/>
      <c r="G43"/>
      <c r="AH43" s="16"/>
    </row>
    <row r="44" spans="1:34" x14ac:dyDescent="0.35">
      <c r="A44"/>
      <c r="B44"/>
      <c r="C44"/>
      <c r="D44"/>
      <c r="E44"/>
      <c r="F44"/>
      <c r="G44"/>
      <c r="AH44" s="16"/>
    </row>
    <row r="45" spans="1:34" x14ac:dyDescent="0.35">
      <c r="A45"/>
      <c r="B45"/>
      <c r="C45"/>
      <c r="D45"/>
      <c r="E45"/>
      <c r="F45"/>
      <c r="G45"/>
      <c r="AH45" s="16"/>
    </row>
    <row r="46" spans="1:34" x14ac:dyDescent="0.35">
      <c r="A46"/>
      <c r="B46"/>
      <c r="C46"/>
      <c r="D46"/>
      <c r="E46"/>
      <c r="F46"/>
      <c r="G46"/>
      <c r="AH46" s="16"/>
    </row>
    <row r="47" spans="1:34" x14ac:dyDescent="0.35">
      <c r="A47"/>
      <c r="B47"/>
      <c r="C47"/>
      <c r="D47"/>
      <c r="E47"/>
      <c r="F47"/>
      <c r="G47"/>
      <c r="AH47" s="16"/>
    </row>
    <row r="48" spans="1:34" x14ac:dyDescent="0.35">
      <c r="A48"/>
      <c r="B48"/>
      <c r="C48"/>
      <c r="D48"/>
      <c r="E48"/>
      <c r="F48"/>
      <c r="G48"/>
      <c r="AH48" s="16"/>
    </row>
    <row r="49" spans="1:34" x14ac:dyDescent="0.35">
      <c r="A49"/>
      <c r="B49"/>
      <c r="C49"/>
      <c r="D49"/>
      <c r="E49"/>
      <c r="F49"/>
      <c r="G49"/>
      <c r="AH49" s="16"/>
    </row>
    <row r="50" spans="1:34" x14ac:dyDescent="0.35">
      <c r="A50"/>
      <c r="B50"/>
      <c r="C50"/>
      <c r="D50"/>
      <c r="E50"/>
      <c r="F50"/>
      <c r="G50"/>
      <c r="AH50" s="16"/>
    </row>
    <row r="51" spans="1:34" x14ac:dyDescent="0.35">
      <c r="A51"/>
      <c r="B51"/>
      <c r="C51"/>
      <c r="D51"/>
      <c r="E51"/>
      <c r="F51"/>
      <c r="G51"/>
      <c r="AH51" s="16"/>
    </row>
    <row r="52" spans="1:34" x14ac:dyDescent="0.35">
      <c r="A52"/>
      <c r="B52"/>
      <c r="C52"/>
      <c r="D52"/>
      <c r="E52"/>
      <c r="F52"/>
      <c r="G52"/>
      <c r="AH52" s="16"/>
    </row>
    <row r="53" spans="1:34" x14ac:dyDescent="0.35">
      <c r="A53"/>
      <c r="B53"/>
      <c r="C53"/>
      <c r="D53"/>
      <c r="E53"/>
      <c r="F53"/>
      <c r="G53"/>
      <c r="AH53" s="16"/>
    </row>
    <row r="54" spans="1:34" x14ac:dyDescent="0.35">
      <c r="A54"/>
      <c r="B54"/>
      <c r="C54"/>
      <c r="D54"/>
      <c r="E54"/>
      <c r="F54"/>
      <c r="G54"/>
      <c r="AH54" s="16"/>
    </row>
    <row r="55" spans="1:34" x14ac:dyDescent="0.35">
      <c r="A55"/>
      <c r="B55"/>
      <c r="C55"/>
      <c r="D55"/>
      <c r="E55"/>
      <c r="F55"/>
      <c r="G55"/>
      <c r="AH55" s="16"/>
    </row>
    <row r="56" spans="1:34" x14ac:dyDescent="0.35">
      <c r="A56"/>
      <c r="B56"/>
      <c r="C56"/>
      <c r="D56"/>
      <c r="E56"/>
      <c r="F56"/>
      <c r="G56"/>
      <c r="AH56" s="16"/>
    </row>
    <row r="57" spans="1:34" x14ac:dyDescent="0.35">
      <c r="A57"/>
      <c r="B57"/>
      <c r="C57"/>
      <c r="D57"/>
      <c r="E57"/>
      <c r="F57"/>
      <c r="G57"/>
      <c r="AH57" s="16"/>
    </row>
    <row r="58" spans="1:34" x14ac:dyDescent="0.35">
      <c r="A58"/>
      <c r="B58"/>
      <c r="C58"/>
      <c r="D58"/>
      <c r="E58"/>
      <c r="F58"/>
      <c r="G58"/>
      <c r="AH58" s="16"/>
    </row>
    <row r="59" spans="1:34" x14ac:dyDescent="0.35">
      <c r="A59"/>
      <c r="B59"/>
      <c r="C59"/>
      <c r="D59"/>
      <c r="E59"/>
      <c r="F59"/>
      <c r="G59"/>
      <c r="AH59" s="16"/>
    </row>
    <row r="60" spans="1:34" x14ac:dyDescent="0.35">
      <c r="A60"/>
      <c r="B60"/>
      <c r="C60"/>
      <c r="D60"/>
      <c r="E60"/>
      <c r="F60"/>
      <c r="G60"/>
      <c r="AH60" s="16"/>
    </row>
    <row r="61" spans="1:34" x14ac:dyDescent="0.35">
      <c r="A61"/>
      <c r="B61"/>
      <c r="C61"/>
      <c r="D61"/>
      <c r="E61"/>
      <c r="F61"/>
      <c r="G61"/>
      <c r="AH61" s="16"/>
    </row>
    <row r="62" spans="1:34" x14ac:dyDescent="0.35">
      <c r="A62"/>
      <c r="B62"/>
      <c r="C62"/>
      <c r="D62"/>
      <c r="E62"/>
      <c r="F62"/>
      <c r="G62"/>
      <c r="AH62" s="16"/>
    </row>
    <row r="63" spans="1:34" x14ac:dyDescent="0.35">
      <c r="A63"/>
      <c r="B63"/>
      <c r="C63"/>
      <c r="D63"/>
      <c r="E63"/>
      <c r="F63"/>
      <c r="G63"/>
      <c r="AH63" s="16"/>
    </row>
    <row r="64" spans="1:34" x14ac:dyDescent="0.35">
      <c r="A64"/>
      <c r="B64"/>
      <c r="C64"/>
      <c r="D64"/>
      <c r="E64"/>
      <c r="F64"/>
      <c r="G64"/>
      <c r="AH64" s="16"/>
    </row>
    <row r="65" spans="1:34" x14ac:dyDescent="0.35">
      <c r="A65"/>
      <c r="B65"/>
      <c r="C65"/>
      <c r="D65"/>
      <c r="E65"/>
      <c r="F65"/>
      <c r="G65"/>
      <c r="AH65" s="16"/>
    </row>
    <row r="66" spans="1:34" x14ac:dyDescent="0.35">
      <c r="A66"/>
      <c r="B66"/>
      <c r="C66"/>
      <c r="D66"/>
      <c r="E66"/>
      <c r="F66"/>
      <c r="G66"/>
      <c r="AH66" s="16"/>
    </row>
    <row r="67" spans="1:34" x14ac:dyDescent="0.35">
      <c r="A67"/>
      <c r="B67"/>
      <c r="C67"/>
      <c r="D67"/>
      <c r="E67"/>
      <c r="F67"/>
      <c r="G67"/>
      <c r="AH67" s="16"/>
    </row>
    <row r="68" spans="1:34" x14ac:dyDescent="0.35">
      <c r="A68"/>
      <c r="B68"/>
      <c r="C68"/>
      <c r="D68"/>
      <c r="E68"/>
      <c r="F68"/>
      <c r="G68"/>
      <c r="AH68" s="16"/>
    </row>
    <row r="69" spans="1:34" x14ac:dyDescent="0.35">
      <c r="A69"/>
      <c r="B69"/>
      <c r="C69"/>
      <c r="D69"/>
      <c r="E69"/>
      <c r="F69"/>
      <c r="G69"/>
      <c r="AH69" s="16"/>
    </row>
    <row r="70" spans="1:34" x14ac:dyDescent="0.35">
      <c r="A70"/>
      <c r="B70"/>
      <c r="C70"/>
      <c r="D70"/>
      <c r="E70"/>
      <c r="F70"/>
      <c r="G70"/>
      <c r="AH70" s="16"/>
    </row>
    <row r="71" spans="1:34" x14ac:dyDescent="0.35">
      <c r="A71"/>
      <c r="B71"/>
      <c r="C71"/>
      <c r="D71"/>
      <c r="E71"/>
      <c r="F71"/>
      <c r="G71"/>
      <c r="AH71" s="16"/>
    </row>
    <row r="72" spans="1:34" x14ac:dyDescent="0.35">
      <c r="A72"/>
      <c r="B72"/>
      <c r="C72"/>
      <c r="D72"/>
      <c r="E72"/>
      <c r="F72"/>
      <c r="G72"/>
      <c r="AH72" s="16"/>
    </row>
    <row r="73" spans="1:34" x14ac:dyDescent="0.35">
      <c r="A73"/>
      <c r="B73"/>
      <c r="C73"/>
      <c r="D73"/>
      <c r="E73"/>
      <c r="F73"/>
      <c r="G73"/>
      <c r="AH73" s="16"/>
    </row>
    <row r="74" spans="1:34" x14ac:dyDescent="0.35">
      <c r="A74"/>
      <c r="B74"/>
      <c r="C74"/>
      <c r="D74"/>
      <c r="E74"/>
      <c r="F74"/>
      <c r="G74"/>
      <c r="AH74" s="16"/>
    </row>
    <row r="75" spans="1:34" x14ac:dyDescent="0.35">
      <c r="A75"/>
      <c r="B75"/>
      <c r="C75"/>
      <c r="D75"/>
      <c r="E75"/>
      <c r="F75"/>
      <c r="G75"/>
      <c r="AH75" s="16"/>
    </row>
    <row r="76" spans="1:34" x14ac:dyDescent="0.35">
      <c r="A76"/>
      <c r="B76"/>
      <c r="C76"/>
      <c r="D76"/>
      <c r="E76"/>
      <c r="F76"/>
      <c r="G76"/>
      <c r="AH76" s="16"/>
    </row>
    <row r="77" spans="1:34" x14ac:dyDescent="0.35">
      <c r="A77"/>
      <c r="B77"/>
      <c r="C77"/>
      <c r="D77"/>
      <c r="E77"/>
      <c r="F77"/>
      <c r="G77"/>
      <c r="AH77" s="16"/>
    </row>
    <row r="78" spans="1:34" x14ac:dyDescent="0.35">
      <c r="A78"/>
      <c r="B78"/>
      <c r="C78"/>
      <c r="D78"/>
      <c r="E78"/>
      <c r="F78"/>
      <c r="G78"/>
      <c r="AH78" s="16"/>
    </row>
    <row r="79" spans="1:34" x14ac:dyDescent="0.35">
      <c r="A79" s="42"/>
      <c r="B79" s="42"/>
      <c r="C79" s="42"/>
      <c r="D79" s="42"/>
      <c r="E79" s="42"/>
      <c r="F79" s="42"/>
      <c r="G79" s="42"/>
      <c r="H79" s="10"/>
      <c r="I79" s="10"/>
      <c r="J79" s="10"/>
      <c r="K79" s="10"/>
      <c r="L79" s="10"/>
      <c r="M79" s="10"/>
      <c r="N79" s="10"/>
      <c r="O79" s="10"/>
      <c r="P79" s="10"/>
      <c r="Q79" s="10"/>
      <c r="R79" s="10"/>
      <c r="S79" s="10"/>
      <c r="T79" s="10"/>
      <c r="U79" s="10"/>
      <c r="V79" s="10"/>
      <c r="W79" s="10"/>
      <c r="X79" s="10"/>
      <c r="Y79" s="10"/>
      <c r="Z79" s="10"/>
      <c r="AA79" s="10"/>
      <c r="AB79" s="10"/>
      <c r="AC79" s="10"/>
      <c r="AD79" s="10"/>
      <c r="AE79" s="10"/>
      <c r="AF79" s="10"/>
      <c r="AG79" s="10"/>
      <c r="AH79" s="19"/>
    </row>
    <row r="80" spans="1:34" x14ac:dyDescent="0.35">
      <c r="A80" s="34"/>
      <c r="B80" s="34"/>
      <c r="C80" s="34"/>
      <c r="D80" s="34"/>
      <c r="E80" s="34"/>
      <c r="F80" s="34"/>
      <c r="G80" s="34"/>
      <c r="H80" s="17"/>
      <c r="I80" s="17"/>
      <c r="J80" s="17"/>
      <c r="K80" s="17"/>
      <c r="L80" s="17"/>
      <c r="M80" s="17"/>
      <c r="N80" s="17"/>
      <c r="O80" s="17"/>
      <c r="P80" s="17"/>
      <c r="Q80" s="17"/>
      <c r="R80" s="17"/>
      <c r="S80" s="17"/>
      <c r="T80" s="17"/>
      <c r="U80" s="17"/>
      <c r="V80" s="17"/>
      <c r="W80" s="17"/>
      <c r="X80" s="17"/>
      <c r="Y80" s="17"/>
      <c r="Z80" s="17"/>
      <c r="AA80" s="17"/>
      <c r="AB80" s="17"/>
      <c r="AC80" s="17"/>
      <c r="AD80" s="17"/>
      <c r="AE80" s="17"/>
      <c r="AF80" s="17"/>
      <c r="AG80" s="17"/>
      <c r="AH80" s="99"/>
    </row>
    <row r="81" spans="1:34" ht="18.5" x14ac:dyDescent="0.45">
      <c r="A81"/>
      <c r="B81" s="100" t="s">
        <v>392</v>
      </c>
      <c r="C81"/>
      <c r="D81"/>
      <c r="E81"/>
      <c r="F81"/>
      <c r="G81"/>
      <c r="N81" s="13" t="s">
        <v>390</v>
      </c>
      <c r="AH81" s="16"/>
    </row>
    <row r="82" spans="1:34" ht="15.5" x14ac:dyDescent="0.35">
      <c r="A82"/>
      <c r="B82" s="126" t="s">
        <v>391</v>
      </c>
      <c r="C82" s="145"/>
      <c r="D82"/>
      <c r="E82"/>
      <c r="F82"/>
      <c r="G82"/>
      <c r="N82" s="23" t="s">
        <v>346</v>
      </c>
      <c r="AH82" s="16"/>
    </row>
    <row r="83" spans="1:34" ht="14.5" customHeight="1" thickBot="1" x14ac:dyDescent="0.4">
      <c r="A83"/>
      <c r="B83"/>
      <c r="C83"/>
      <c r="D83"/>
      <c r="E83"/>
      <c r="F83"/>
      <c r="G83"/>
      <c r="AH83" s="16"/>
    </row>
    <row r="84" spans="1:34" ht="15" thickBot="1" x14ac:dyDescent="0.4">
      <c r="A84"/>
      <c r="B84" s="167"/>
      <c r="C84" s="137" t="s">
        <v>300</v>
      </c>
      <c r="D84" s="137"/>
      <c r="E84" s="137"/>
      <c r="F84" s="137"/>
      <c r="G84" s="168"/>
      <c r="AH84" s="16"/>
    </row>
    <row r="85" spans="1:34" ht="15" thickBot="1" x14ac:dyDescent="0.4">
      <c r="A85"/>
      <c r="B85" s="165"/>
      <c r="C85" s="169"/>
      <c r="D85" s="170">
        <v>1300</v>
      </c>
      <c r="E85" s="171">
        <v>1500</v>
      </c>
      <c r="F85" s="171">
        <v>1700</v>
      </c>
      <c r="G85"/>
      <c r="AH85" s="16"/>
    </row>
    <row r="86" spans="1:34" ht="27" customHeight="1" x14ac:dyDescent="0.35">
      <c r="A86"/>
      <c r="B86" s="165"/>
      <c r="C86" s="172" t="s">
        <v>334</v>
      </c>
      <c r="D86" s="166" t="s">
        <v>331</v>
      </c>
      <c r="E86" s="166" t="s">
        <v>332</v>
      </c>
      <c r="F86" s="166" t="s">
        <v>333</v>
      </c>
      <c r="G86"/>
      <c r="AH86" s="16"/>
    </row>
    <row r="87" spans="1:34" x14ac:dyDescent="0.35">
      <c r="A87"/>
      <c r="B87" s="88" t="s">
        <v>292</v>
      </c>
      <c r="C87" s="91">
        <v>0.125</v>
      </c>
      <c r="D87" s="92">
        <v>3</v>
      </c>
      <c r="E87" s="94">
        <v>1</v>
      </c>
      <c r="F87" s="94">
        <v>2</v>
      </c>
      <c r="G87"/>
      <c r="AH87" s="16"/>
    </row>
    <row r="88" spans="1:34" x14ac:dyDescent="0.35">
      <c r="A88"/>
      <c r="B88" s="88" t="s">
        <v>293</v>
      </c>
      <c r="C88" s="93">
        <v>0.25</v>
      </c>
      <c r="D88" s="94">
        <v>2</v>
      </c>
      <c r="E88" s="94">
        <v>0</v>
      </c>
      <c r="F88" s="94">
        <v>0</v>
      </c>
      <c r="G88"/>
      <c r="AH88" s="16"/>
    </row>
    <row r="89" spans="1:34" x14ac:dyDescent="0.35">
      <c r="A89"/>
      <c r="B89" s="88" t="s">
        <v>294</v>
      </c>
      <c r="C89" s="93">
        <v>0.375</v>
      </c>
      <c r="D89" s="94">
        <v>1</v>
      </c>
      <c r="E89" s="94">
        <v>3</v>
      </c>
      <c r="F89" s="94">
        <v>1</v>
      </c>
      <c r="G89"/>
      <c r="AH89" s="16"/>
    </row>
    <row r="90" spans="1:34" x14ac:dyDescent="0.35">
      <c r="A90"/>
      <c r="B90" s="88" t="s">
        <v>295</v>
      </c>
      <c r="C90" s="93">
        <v>0.5</v>
      </c>
      <c r="D90" s="94">
        <v>0</v>
      </c>
      <c r="E90" s="94">
        <v>1</v>
      </c>
      <c r="F90" s="94">
        <v>2</v>
      </c>
      <c r="G90"/>
      <c r="AH90" s="16"/>
    </row>
    <row r="91" spans="1:34" x14ac:dyDescent="0.35">
      <c r="A91"/>
      <c r="B91" s="88" t="s">
        <v>296</v>
      </c>
      <c r="C91" s="93">
        <v>0.625</v>
      </c>
      <c r="D91" s="94">
        <v>1</v>
      </c>
      <c r="E91" s="94">
        <v>0</v>
      </c>
      <c r="F91" s="94">
        <v>0</v>
      </c>
      <c r="G91"/>
      <c r="AH91" s="16"/>
    </row>
    <row r="92" spans="1:34" x14ac:dyDescent="0.35">
      <c r="A92"/>
      <c r="B92" s="88" t="s">
        <v>297</v>
      </c>
      <c r="C92" s="93">
        <v>0.75</v>
      </c>
      <c r="D92" s="94">
        <v>2</v>
      </c>
      <c r="E92" s="94">
        <v>2</v>
      </c>
      <c r="F92" s="94">
        <v>0</v>
      </c>
      <c r="G92"/>
      <c r="AH92" s="16"/>
    </row>
    <row r="93" spans="1:34" x14ac:dyDescent="0.35">
      <c r="A93"/>
      <c r="B93" s="88" t="s">
        <v>298</v>
      </c>
      <c r="C93" s="93">
        <v>0.875</v>
      </c>
      <c r="D93" s="94">
        <v>3</v>
      </c>
      <c r="E93" s="94">
        <v>1</v>
      </c>
      <c r="F93" s="94">
        <v>0</v>
      </c>
      <c r="G93"/>
      <c r="AH93" s="16"/>
    </row>
    <row r="94" spans="1:34" ht="15" thickBot="1" x14ac:dyDescent="0.4">
      <c r="A94"/>
      <c r="B94" s="89">
        <v>1</v>
      </c>
      <c r="C94" s="95">
        <v>1</v>
      </c>
      <c r="D94" s="96">
        <v>6</v>
      </c>
      <c r="E94" s="96">
        <v>9</v>
      </c>
      <c r="F94" s="96">
        <v>3</v>
      </c>
      <c r="G94"/>
      <c r="AH94" s="16"/>
    </row>
    <row r="95" spans="1:34" ht="15" thickBot="1" x14ac:dyDescent="0.4">
      <c r="A95"/>
      <c r="B95" s="85"/>
      <c r="C95" s="87"/>
      <c r="D95" s="90">
        <f>SUM(square_count_1300)</f>
        <v>18</v>
      </c>
      <c r="E95" s="86">
        <f>SUM(square_count_1500)</f>
        <v>17</v>
      </c>
      <c r="F95" s="90">
        <f>SUM(square_count_1700)</f>
        <v>8</v>
      </c>
      <c r="G95"/>
      <c r="AH95" s="16"/>
    </row>
    <row r="96" spans="1:34" x14ac:dyDescent="0.35">
      <c r="A96"/>
      <c r="B96"/>
      <c r="C96"/>
      <c r="D96"/>
      <c r="E96"/>
      <c r="F96"/>
      <c r="G96"/>
      <c r="AH96" s="16"/>
    </row>
    <row r="97" spans="1:34" x14ac:dyDescent="0.35">
      <c r="A97"/>
      <c r="B97"/>
      <c r="C97"/>
      <c r="D97"/>
      <c r="E97"/>
      <c r="F97"/>
      <c r="G97"/>
      <c r="AH97" s="16"/>
    </row>
    <row r="98" spans="1:34" x14ac:dyDescent="0.35">
      <c r="A98"/>
      <c r="B98" s="23" t="s">
        <v>233</v>
      </c>
      <c r="C98"/>
      <c r="D98"/>
      <c r="E98"/>
      <c r="F98"/>
      <c r="G98"/>
      <c r="AH98" s="16"/>
    </row>
    <row r="99" spans="1:34" x14ac:dyDescent="0.35">
      <c r="A99"/>
      <c r="B99"/>
      <c r="C99"/>
      <c r="D99"/>
      <c r="E99"/>
      <c r="F99"/>
      <c r="G99"/>
      <c r="AH99" s="16"/>
    </row>
    <row r="100" spans="1:34" ht="58.5" thickBot="1" x14ac:dyDescent="0.4">
      <c r="A100"/>
      <c r="B100" s="101" t="s">
        <v>257</v>
      </c>
      <c r="C100" t="s">
        <v>335</v>
      </c>
      <c r="D100"/>
      <c r="E100"/>
      <c r="F100"/>
      <c r="G100"/>
      <c r="AH100" s="16"/>
    </row>
    <row r="101" spans="1:34" x14ac:dyDescent="0.35">
      <c r="A101"/>
      <c r="B101">
        <v>1300</v>
      </c>
      <c r="C101" s="66">
        <f>D95</f>
        <v>18</v>
      </c>
      <c r="D101"/>
      <c r="E101"/>
      <c r="F101"/>
      <c r="G101"/>
      <c r="AH101" s="16"/>
    </row>
    <row r="102" spans="1:34" x14ac:dyDescent="0.35">
      <c r="A102"/>
      <c r="B102">
        <v>1500</v>
      </c>
      <c r="C102" s="67">
        <f>E95</f>
        <v>17</v>
      </c>
      <c r="D102"/>
      <c r="E102"/>
      <c r="F102"/>
      <c r="G102"/>
      <c r="AH102" s="16"/>
    </row>
    <row r="103" spans="1:34" ht="15" thickBot="1" x14ac:dyDescent="0.4">
      <c r="A103"/>
      <c r="B103">
        <v>1700</v>
      </c>
      <c r="C103" s="68">
        <f>F95</f>
        <v>8</v>
      </c>
      <c r="D103"/>
      <c r="E103"/>
      <c r="F103"/>
      <c r="G103"/>
      <c r="AH103" s="16"/>
    </row>
    <row r="104" spans="1:34" x14ac:dyDescent="0.35">
      <c r="A104"/>
      <c r="B104"/>
      <c r="C104"/>
      <c r="D104"/>
      <c r="E104"/>
      <c r="F104"/>
      <c r="G104"/>
      <c r="AH104" s="16"/>
    </row>
    <row r="105" spans="1:34" ht="15" thickBot="1" x14ac:dyDescent="0.4">
      <c r="A105"/>
      <c r="B105" t="s">
        <v>89</v>
      </c>
      <c r="C105"/>
      <c r="D105"/>
      <c r="E105"/>
      <c r="F105"/>
      <c r="G105"/>
      <c r="AH105" s="16"/>
    </row>
    <row r="106" spans="1:34" ht="19" thickBot="1" x14ac:dyDescent="0.5">
      <c r="A106"/>
      <c r="B106"/>
      <c r="C106" s="103">
        <f>(B101*C101+B102*C102+B103*C103)/SUM(square_count_rainfall)</f>
        <v>1453.4883720930231</v>
      </c>
      <c r="D106" t="s">
        <v>85</v>
      </c>
      <c r="E106"/>
      <c r="F106"/>
      <c r="G106"/>
      <c r="AH106" s="16"/>
    </row>
    <row r="107" spans="1:34" x14ac:dyDescent="0.35">
      <c r="A107"/>
      <c r="B107"/>
      <c r="C107"/>
      <c r="D107"/>
      <c r="E107"/>
      <c r="F107"/>
      <c r="G107"/>
      <c r="AH107" s="16"/>
    </row>
    <row r="108" spans="1:34" x14ac:dyDescent="0.35">
      <c r="A108"/>
      <c r="B108"/>
      <c r="C108"/>
      <c r="D108"/>
      <c r="E108"/>
      <c r="F108"/>
      <c r="G108"/>
      <c r="AH108" s="16"/>
    </row>
    <row r="109" spans="1:34" x14ac:dyDescent="0.35">
      <c r="A109"/>
      <c r="B109"/>
      <c r="C109"/>
      <c r="D109"/>
      <c r="E109"/>
      <c r="F109"/>
      <c r="G109"/>
      <c r="AH109" s="16"/>
    </row>
    <row r="110" spans="1:34" x14ac:dyDescent="0.35">
      <c r="A110"/>
      <c r="B110"/>
      <c r="C110"/>
      <c r="D110"/>
      <c r="E110"/>
      <c r="F110"/>
      <c r="G110"/>
      <c r="AH110" s="16"/>
    </row>
    <row r="111" spans="1:34" x14ac:dyDescent="0.35">
      <c r="A111"/>
      <c r="B111"/>
      <c r="C111"/>
      <c r="D111"/>
      <c r="E111"/>
      <c r="F111"/>
      <c r="G111"/>
      <c r="AH111" s="16"/>
    </row>
    <row r="112" spans="1:34" x14ac:dyDescent="0.35">
      <c r="A112"/>
      <c r="B112"/>
      <c r="C112"/>
      <c r="D112"/>
      <c r="E112"/>
      <c r="F112"/>
      <c r="G112"/>
      <c r="AH112" s="16"/>
    </row>
    <row r="113" spans="1:34" x14ac:dyDescent="0.35">
      <c r="A113" s="42"/>
      <c r="B113" s="42"/>
      <c r="C113" s="102"/>
      <c r="D113" s="42"/>
      <c r="E113" s="42"/>
      <c r="F113" s="42"/>
      <c r="G113" s="42"/>
      <c r="H113" s="10"/>
      <c r="I113" s="10"/>
      <c r="J113" s="10"/>
      <c r="K113" s="10"/>
      <c r="L113" s="10"/>
      <c r="M113" s="10"/>
      <c r="N113" s="10"/>
      <c r="O113" s="10"/>
      <c r="P113" s="10"/>
      <c r="Q113" s="10"/>
      <c r="R113" s="10"/>
      <c r="S113" s="10"/>
      <c r="T113" s="10"/>
      <c r="U113" s="10"/>
      <c r="V113" s="10"/>
      <c r="W113" s="10"/>
      <c r="X113" s="10"/>
      <c r="Y113" s="10"/>
      <c r="Z113" s="10"/>
      <c r="AA113" s="10"/>
      <c r="AB113" s="10"/>
      <c r="AC113" s="10"/>
      <c r="AD113" s="10"/>
      <c r="AE113" s="10"/>
      <c r="AF113" s="10"/>
      <c r="AG113" s="10"/>
      <c r="AH113" s="19"/>
    </row>
    <row r="114" spans="1:34" x14ac:dyDescent="0.35">
      <c r="A114" s="34"/>
      <c r="B114" s="34"/>
      <c r="C114" s="34"/>
      <c r="D114" s="34"/>
      <c r="E114" s="34"/>
      <c r="F114" s="34"/>
      <c r="G114" s="34"/>
      <c r="H114" s="17"/>
      <c r="I114" s="17"/>
      <c r="J114" s="17"/>
      <c r="K114" s="17"/>
      <c r="L114" s="17"/>
      <c r="M114" s="17"/>
      <c r="N114" s="17"/>
      <c r="O114" s="17"/>
      <c r="P114" s="17"/>
      <c r="Q114" s="17"/>
      <c r="R114" s="17"/>
      <c r="S114" s="17"/>
      <c r="T114" s="17"/>
      <c r="U114" s="17"/>
      <c r="V114" s="17"/>
      <c r="W114" s="17"/>
      <c r="X114" s="17"/>
      <c r="Y114" s="17"/>
      <c r="Z114" s="17"/>
      <c r="AA114" s="17"/>
      <c r="AB114" s="17"/>
      <c r="AC114" s="17"/>
      <c r="AD114" s="17"/>
      <c r="AE114" s="17"/>
      <c r="AF114" s="17"/>
      <c r="AG114" s="17"/>
      <c r="AH114" s="99"/>
    </row>
    <row r="115" spans="1:34" ht="18.5" x14ac:dyDescent="0.45">
      <c r="A115"/>
      <c r="B115" s="100" t="s">
        <v>393</v>
      </c>
      <c r="C115"/>
      <c r="D115"/>
      <c r="E115"/>
      <c r="F115"/>
      <c r="G115"/>
      <c r="AH115" s="16"/>
    </row>
    <row r="116" spans="1:34" x14ac:dyDescent="0.35">
      <c r="A116"/>
      <c r="B116"/>
      <c r="C116"/>
      <c r="D116"/>
      <c r="E116"/>
      <c r="F116"/>
      <c r="G116"/>
      <c r="AH116" s="16"/>
    </row>
    <row r="117" spans="1:34" x14ac:dyDescent="0.35">
      <c r="A117"/>
      <c r="B117"/>
      <c r="C117"/>
      <c r="D117"/>
      <c r="E117"/>
      <c r="F117"/>
      <c r="G117"/>
      <c r="AH117" s="16"/>
    </row>
    <row r="118" spans="1:34" x14ac:dyDescent="0.35">
      <c r="A118"/>
      <c r="B118"/>
      <c r="C118" t="s">
        <v>336</v>
      </c>
      <c r="D118"/>
      <c r="E118"/>
      <c r="F118"/>
      <c r="G118"/>
      <c r="AH118" s="16"/>
    </row>
    <row r="119" spans="1:34" x14ac:dyDescent="0.35">
      <c r="A119"/>
      <c r="B119"/>
      <c r="C119" s="2">
        <v>31536</v>
      </c>
      <c r="D119" t="s">
        <v>90</v>
      </c>
      <c r="E119"/>
      <c r="F119"/>
      <c r="G119"/>
      <c r="AH119" s="16"/>
    </row>
    <row r="120" spans="1:34" x14ac:dyDescent="0.35">
      <c r="A120"/>
      <c r="B120"/>
      <c r="C120"/>
      <c r="D120"/>
      <c r="E120"/>
      <c r="F120"/>
      <c r="G120"/>
      <c r="AH120" s="16"/>
    </row>
    <row r="121" spans="1:34" ht="15" thickBot="1" x14ac:dyDescent="0.4">
      <c r="A121"/>
      <c r="B121"/>
      <c r="C121" t="s">
        <v>91</v>
      </c>
      <c r="D121"/>
      <c r="E121"/>
      <c r="F121"/>
      <c r="G121"/>
      <c r="AH121" s="16"/>
    </row>
    <row r="122" spans="1:34" ht="19.5" thickTop="1" thickBot="1" x14ac:dyDescent="0.5">
      <c r="A122"/>
      <c r="B122" t="s">
        <v>282</v>
      </c>
      <c r="C122" s="104">
        <f>(rainfall_intensity*Catchment_Area)/conversion</f>
        <v>1.278992336554458</v>
      </c>
      <c r="D122" t="s">
        <v>65</v>
      </c>
      <c r="E122"/>
      <c r="F122"/>
      <c r="G122"/>
      <c r="AH122" s="16"/>
    </row>
    <row r="123" spans="1:34" ht="15" thickTop="1" x14ac:dyDescent="0.35">
      <c r="A123"/>
      <c r="B123"/>
      <c r="C123"/>
      <c r="D123"/>
      <c r="E123"/>
      <c r="F123"/>
      <c r="G123"/>
      <c r="AH123" s="16"/>
    </row>
    <row r="124" spans="1:34" x14ac:dyDescent="0.35">
      <c r="A124" s="42"/>
      <c r="B124" s="42"/>
      <c r="C124" s="42"/>
      <c r="D124" s="42"/>
      <c r="E124" s="42"/>
      <c r="F124" s="42"/>
      <c r="G124" s="42"/>
      <c r="H124" s="10"/>
      <c r="I124" s="10"/>
      <c r="J124" s="10"/>
      <c r="K124" s="10"/>
      <c r="L124" s="10"/>
      <c r="M124" s="10"/>
      <c r="N124" s="10"/>
      <c r="O124" s="10"/>
      <c r="P124" s="10"/>
      <c r="Q124" s="10"/>
      <c r="R124" s="10"/>
      <c r="S124" s="10"/>
      <c r="T124" s="10"/>
      <c r="U124" s="10"/>
      <c r="V124" s="10"/>
      <c r="W124" s="10"/>
      <c r="X124" s="10"/>
      <c r="Y124" s="10"/>
      <c r="Z124" s="10"/>
      <c r="AA124" s="10"/>
      <c r="AB124" s="10"/>
      <c r="AC124" s="10"/>
      <c r="AD124" s="10"/>
      <c r="AE124" s="10"/>
      <c r="AF124" s="10"/>
      <c r="AG124" s="10"/>
      <c r="AH124" s="19"/>
    </row>
    <row r="167" spans="2:8" x14ac:dyDescent="0.35">
      <c r="F167" s="32"/>
      <c r="G167"/>
      <c r="H167"/>
    </row>
    <row r="168" spans="2:8" x14ac:dyDescent="0.35">
      <c r="F168" s="32"/>
      <c r="G168"/>
      <c r="H168"/>
    </row>
    <row r="170" spans="2:8" x14ac:dyDescent="0.35">
      <c r="B170" s="13"/>
      <c r="C170" s="13"/>
    </row>
    <row r="203" hidden="1" x14ac:dyDescent="0.35"/>
    <row r="204" hidden="1" x14ac:dyDescent="0.35"/>
    <row r="205" hidden="1" x14ac:dyDescent="0.35"/>
    <row r="206" hidden="1" x14ac:dyDescent="0.35"/>
    <row r="207" hidden="1" x14ac:dyDescent="0.35"/>
    <row r="208" hidden="1" x14ac:dyDescent="0.35"/>
    <row r="209" spans="18:20" hidden="1" x14ac:dyDescent="0.35"/>
    <row r="212" spans="18:20" hidden="1" x14ac:dyDescent="0.35">
      <c r="S212" s="9" t="s">
        <v>217</v>
      </c>
      <c r="T212" s="9">
        <v>5.0199999999999996</v>
      </c>
    </row>
    <row r="213" spans="18:20" hidden="1" x14ac:dyDescent="0.35"/>
    <row r="214" spans="18:20" hidden="1" x14ac:dyDescent="0.35"/>
    <row r="215" spans="18:20" hidden="1" x14ac:dyDescent="0.35"/>
    <row r="216" spans="18:20" hidden="1" x14ac:dyDescent="0.35"/>
    <row r="217" spans="18:20" hidden="1" x14ac:dyDescent="0.35"/>
    <row r="218" spans="18:20" hidden="1" x14ac:dyDescent="0.35">
      <c r="R218" s="9" t="s">
        <v>207</v>
      </c>
      <c r="S218" s="9" t="s">
        <v>208</v>
      </c>
      <c r="T218" s="9">
        <v>1.8</v>
      </c>
    </row>
    <row r="219" spans="18:20" hidden="1" x14ac:dyDescent="0.35">
      <c r="R219" s="14" t="s">
        <v>210</v>
      </c>
      <c r="S219" s="9" t="s">
        <v>212</v>
      </c>
      <c r="T219" s="9">
        <v>6.9</v>
      </c>
    </row>
    <row r="220" spans="18:20" hidden="1" x14ac:dyDescent="0.35">
      <c r="R220" s="9" t="s">
        <v>214</v>
      </c>
      <c r="S220" s="9" t="s">
        <v>215</v>
      </c>
      <c r="T220" s="9">
        <v>1.1100000000000001</v>
      </c>
    </row>
    <row r="221" spans="18:20" hidden="1" x14ac:dyDescent="0.35">
      <c r="R221" s="14" t="s">
        <v>210</v>
      </c>
      <c r="S221" s="9" t="s">
        <v>218</v>
      </c>
      <c r="T221" s="9">
        <v>5.74</v>
      </c>
    </row>
    <row r="222" spans="18:20" hidden="1" x14ac:dyDescent="0.35">
      <c r="S222" s="9" t="s">
        <v>219</v>
      </c>
      <c r="T222" s="9">
        <v>0.9</v>
      </c>
    </row>
    <row r="223" spans="18:20" hidden="1" x14ac:dyDescent="0.35">
      <c r="S223" s="9" t="s">
        <v>209</v>
      </c>
      <c r="T223" s="9">
        <v>1.8160000000000001</v>
      </c>
    </row>
    <row r="224" spans="18:20" hidden="1" x14ac:dyDescent="0.35">
      <c r="S224" s="9" t="s">
        <v>213</v>
      </c>
      <c r="T224" s="9">
        <v>2.1800000000000002</v>
      </c>
    </row>
    <row r="225" spans="19:20" hidden="1" x14ac:dyDescent="0.35">
      <c r="S225" s="9" t="s">
        <v>216</v>
      </c>
      <c r="T225" s="9">
        <v>1.1000000000000001</v>
      </c>
    </row>
  </sheetData>
  <sheetProtection algorithmName="SHA-512" hashValue="a/9QhdeL9Xg0U1xSIOc9Le8tC9sb4it40bcqKi1sxPKVjBiRwy1ilGe5FDNlRrSf8lzH0f6awyyygVJ2lji1kQ==" saltValue="w32rM6eJB9s+MPqKQHPKZg==" spinCount="100000" sheet="1" objects="1" scenarios="1"/>
  <pageMargins left="0.7" right="0.7" top="0.75" bottom="0.75" header="0.3" footer="0.3"/>
  <pageSetup paperSize="9" orientation="portrait"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367FB-8548-4622-89F1-37947D2E8FEE}">
  <dimension ref="A1:AO187"/>
  <sheetViews>
    <sheetView topLeftCell="A26" zoomScale="85" zoomScaleNormal="85" workbookViewId="0">
      <selection activeCell="L86" sqref="L86"/>
    </sheetView>
  </sheetViews>
  <sheetFormatPr defaultColWidth="8.7265625" defaultRowHeight="14.5" x14ac:dyDescent="0.35"/>
  <cols>
    <col min="1" max="1" width="17.54296875" style="9" customWidth="1"/>
    <col min="2" max="3" width="8.7265625" style="9"/>
    <col min="4" max="4" width="8.7265625" style="15"/>
    <col min="5" max="7" width="8.7265625" style="9"/>
    <col min="8" max="8" width="8.7265625" style="15"/>
    <col min="9" max="11" width="8.7265625" style="9"/>
    <col min="12" max="12" width="8.7265625" style="15"/>
    <col min="13" max="23" width="8.7265625" style="9"/>
    <col min="24" max="24" width="8.7265625" style="15"/>
    <col min="25" max="28" width="8.7265625" style="9"/>
    <col min="29" max="29" width="8.7265625" style="15"/>
    <col min="30" max="40" width="8.7265625" style="9"/>
    <col min="41" max="41" width="8.7265625" style="15"/>
    <col min="42" max="16384" width="8.7265625" style="9"/>
  </cols>
  <sheetData>
    <row r="1" spans="1:33" ht="19" thickBot="1" x14ac:dyDescent="0.5">
      <c r="A1"/>
      <c r="B1"/>
      <c r="C1"/>
      <c r="D1" s="71"/>
      <c r="E1"/>
      <c r="F1"/>
      <c r="G1"/>
      <c r="H1" s="71"/>
      <c r="I1"/>
      <c r="J1"/>
      <c r="K1"/>
      <c r="L1" s="98" t="s">
        <v>344</v>
      </c>
      <c r="P1" s="13"/>
      <c r="T1" s="13" t="s">
        <v>302</v>
      </c>
      <c r="Y1" s="13" t="s">
        <v>304</v>
      </c>
      <c r="AG1" s="13" t="s">
        <v>303</v>
      </c>
    </row>
    <row r="2" spans="1:33" ht="21.5" thickBot="1" x14ac:dyDescent="0.55000000000000004">
      <c r="A2"/>
      <c r="B2" s="132" t="s">
        <v>347</v>
      </c>
      <c r="C2"/>
      <c r="D2" s="71"/>
      <c r="E2"/>
      <c r="F2"/>
      <c r="G2"/>
      <c r="H2" s="71"/>
      <c r="I2"/>
      <c r="J2"/>
      <c r="K2"/>
      <c r="L2" s="24"/>
      <c r="M2"/>
      <c r="N2" s="25" t="s">
        <v>237</v>
      </c>
    </row>
    <row r="3" spans="1:33" ht="15" thickBot="1" x14ac:dyDescent="0.4">
      <c r="A3"/>
      <c r="B3"/>
      <c r="C3"/>
      <c r="D3" s="71"/>
      <c r="E3"/>
      <c r="F3"/>
      <c r="G3"/>
      <c r="H3" s="71"/>
      <c r="I3"/>
      <c r="J3"/>
      <c r="K3"/>
      <c r="L3" s="26"/>
      <c r="M3"/>
      <c r="N3" s="25" t="s">
        <v>238</v>
      </c>
    </row>
    <row r="4" spans="1:33" ht="15" thickBot="1" x14ac:dyDescent="0.4">
      <c r="A4"/>
      <c r="B4"/>
      <c r="C4"/>
      <c r="D4" s="71"/>
      <c r="E4"/>
      <c r="F4"/>
      <c r="G4"/>
      <c r="H4" s="71"/>
      <c r="I4"/>
      <c r="J4"/>
      <c r="K4"/>
      <c r="L4" s="27"/>
      <c r="M4" s="28"/>
      <c r="N4" s="25" t="s">
        <v>236</v>
      </c>
    </row>
    <row r="5" spans="1:33" x14ac:dyDescent="0.35">
      <c r="A5"/>
      <c r="B5"/>
      <c r="C5"/>
      <c r="D5" s="71"/>
      <c r="E5" s="23" t="s">
        <v>302</v>
      </c>
      <c r="F5"/>
      <c r="G5"/>
      <c r="H5" s="71"/>
      <c r="I5" s="23" t="s">
        <v>303</v>
      </c>
      <c r="J5"/>
      <c r="K5"/>
      <c r="L5" s="29"/>
      <c r="M5" s="30"/>
      <c r="N5" s="25" t="s">
        <v>252</v>
      </c>
    </row>
    <row r="6" spans="1:33" x14ac:dyDescent="0.35">
      <c r="A6"/>
      <c r="B6"/>
      <c r="C6"/>
      <c r="D6" s="71"/>
      <c r="E6" t="s">
        <v>305</v>
      </c>
      <c r="F6"/>
      <c r="G6"/>
      <c r="H6" s="71"/>
      <c r="I6" t="s">
        <v>45</v>
      </c>
      <c r="J6"/>
      <c r="K6"/>
      <c r="L6" s="31"/>
      <c r="M6"/>
      <c r="N6" s="25" t="s">
        <v>239</v>
      </c>
    </row>
    <row r="7" spans="1:33" x14ac:dyDescent="0.35">
      <c r="A7"/>
      <c r="B7"/>
      <c r="C7"/>
      <c r="D7" s="71"/>
      <c r="E7"/>
      <c r="F7"/>
      <c r="G7"/>
      <c r="H7" s="71"/>
      <c r="I7"/>
      <c r="J7"/>
      <c r="K7"/>
    </row>
    <row r="8" spans="1:33" x14ac:dyDescent="0.35">
      <c r="A8"/>
      <c r="B8"/>
      <c r="C8"/>
      <c r="D8" s="71"/>
      <c r="E8"/>
      <c r="F8"/>
      <c r="G8"/>
      <c r="H8" s="71"/>
      <c r="I8"/>
      <c r="J8"/>
      <c r="K8"/>
    </row>
    <row r="9" spans="1:33" x14ac:dyDescent="0.35">
      <c r="A9"/>
      <c r="B9" t="s">
        <v>2</v>
      </c>
      <c r="C9"/>
      <c r="D9" s="71"/>
      <c r="E9" t="s">
        <v>3</v>
      </c>
      <c r="F9"/>
      <c r="G9"/>
      <c r="H9" s="71"/>
      <c r="I9" t="s">
        <v>3</v>
      </c>
      <c r="J9"/>
      <c r="K9"/>
    </row>
    <row r="10" spans="1:33" x14ac:dyDescent="0.35">
      <c r="A10"/>
      <c r="B10" t="s">
        <v>5</v>
      </c>
      <c r="C10"/>
      <c r="D10" s="71"/>
      <c r="E10" t="s">
        <v>6</v>
      </c>
      <c r="F10"/>
      <c r="G10"/>
      <c r="H10" s="71"/>
      <c r="I10" t="s">
        <v>47</v>
      </c>
      <c r="J10"/>
      <c r="K10"/>
      <c r="P10" s="14"/>
    </row>
    <row r="11" spans="1:33" x14ac:dyDescent="0.35">
      <c r="A11"/>
      <c r="B11" t="s">
        <v>9</v>
      </c>
      <c r="C11"/>
      <c r="D11" s="71"/>
      <c r="E11" t="s">
        <v>10</v>
      </c>
      <c r="F11"/>
      <c r="G11"/>
      <c r="H11" s="71"/>
      <c r="I11" t="s">
        <v>49</v>
      </c>
      <c r="J11"/>
      <c r="K11"/>
    </row>
    <row r="12" spans="1:33" x14ac:dyDescent="0.35">
      <c r="A12"/>
      <c r="B12"/>
      <c r="C12"/>
      <c r="D12" s="71"/>
      <c r="E12"/>
      <c r="F12"/>
      <c r="G12"/>
      <c r="H12" s="71"/>
      <c r="I12"/>
      <c r="J12"/>
      <c r="K12"/>
    </row>
    <row r="13" spans="1:33" x14ac:dyDescent="0.35">
      <c r="A13"/>
      <c r="B13" t="s">
        <v>11</v>
      </c>
      <c r="C13"/>
      <c r="D13" s="71"/>
      <c r="E13" t="s">
        <v>12</v>
      </c>
      <c r="F13"/>
      <c r="G13"/>
      <c r="H13" s="71"/>
      <c r="I13" t="s">
        <v>63</v>
      </c>
      <c r="J13"/>
      <c r="K13"/>
    </row>
    <row r="14" spans="1:33" x14ac:dyDescent="0.35">
      <c r="A14"/>
      <c r="B14"/>
      <c r="C14"/>
      <c r="D14" s="71"/>
      <c r="E14"/>
      <c r="F14"/>
      <c r="G14"/>
      <c r="H14" s="71"/>
      <c r="I14"/>
      <c r="J14"/>
      <c r="K14"/>
    </row>
    <row r="15" spans="1:33" x14ac:dyDescent="0.35">
      <c r="A15"/>
      <c r="B15" t="s">
        <v>13</v>
      </c>
      <c r="C15"/>
      <c r="D15" s="71"/>
      <c r="E15" t="s">
        <v>14</v>
      </c>
      <c r="F15"/>
      <c r="G15"/>
      <c r="H15" s="71"/>
      <c r="I15" t="s">
        <v>14</v>
      </c>
      <c r="J15"/>
      <c r="K15"/>
    </row>
    <row r="16" spans="1:33" x14ac:dyDescent="0.35">
      <c r="A16"/>
      <c r="B16" t="s">
        <v>15</v>
      </c>
      <c r="C16"/>
      <c r="D16" s="71"/>
      <c r="E16" t="s">
        <v>16</v>
      </c>
      <c r="F16"/>
      <c r="G16"/>
      <c r="H16" s="71"/>
      <c r="I16"/>
      <c r="J16"/>
      <c r="K16"/>
    </row>
    <row r="17" spans="1:33" x14ac:dyDescent="0.35">
      <c r="A17"/>
      <c r="B17" t="s">
        <v>20</v>
      </c>
      <c r="C17"/>
      <c r="D17" s="71"/>
      <c r="E17" t="s">
        <v>21</v>
      </c>
      <c r="F17"/>
      <c r="G17"/>
      <c r="H17" s="71"/>
      <c r="I17" t="s">
        <v>21</v>
      </c>
      <c r="J17"/>
      <c r="K17"/>
      <c r="P17" s="14"/>
    </row>
    <row r="18" spans="1:33" x14ac:dyDescent="0.35">
      <c r="A18"/>
      <c r="B18" t="s">
        <v>17</v>
      </c>
      <c r="C18"/>
      <c r="D18" s="71"/>
      <c r="E18"/>
      <c r="F18"/>
      <c r="G18"/>
      <c r="H18" s="71"/>
      <c r="I18" t="s">
        <v>50</v>
      </c>
      <c r="J18"/>
      <c r="K18"/>
      <c r="P18" s="14"/>
    </row>
    <row r="19" spans="1:33" x14ac:dyDescent="0.35">
      <c r="A19"/>
      <c r="B19" t="s">
        <v>18</v>
      </c>
      <c r="C19"/>
      <c r="D19" s="71"/>
      <c r="E19" t="s">
        <v>19</v>
      </c>
      <c r="F19"/>
      <c r="G19"/>
      <c r="H19" s="71"/>
      <c r="I19" t="s">
        <v>51</v>
      </c>
      <c r="J19"/>
      <c r="K19"/>
      <c r="P19" s="14"/>
    </row>
    <row r="20" spans="1:33" x14ac:dyDescent="0.35">
      <c r="A20"/>
      <c r="B20" s="32" t="s">
        <v>27</v>
      </c>
      <c r="C20"/>
      <c r="D20" s="71"/>
      <c r="E20"/>
      <c r="F20"/>
      <c r="G20"/>
      <c r="H20" s="71"/>
      <c r="I20" s="25" t="s">
        <v>62</v>
      </c>
      <c r="J20"/>
      <c r="K20"/>
      <c r="P20" s="14"/>
    </row>
    <row r="21" spans="1:33" ht="18.5" x14ac:dyDescent="0.45">
      <c r="A21"/>
      <c r="B21" s="100" t="s">
        <v>348</v>
      </c>
      <c r="C21"/>
      <c r="D21" s="71"/>
      <c r="E21"/>
      <c r="F21"/>
      <c r="G21"/>
      <c r="H21" s="71"/>
      <c r="I21"/>
      <c r="J21"/>
      <c r="K21"/>
      <c r="P21" s="13"/>
      <c r="Y21" s="13"/>
      <c r="AG21" s="13"/>
    </row>
    <row r="22" spans="1:33" x14ac:dyDescent="0.35">
      <c r="A22" s="23" t="s">
        <v>307</v>
      </c>
      <c r="B22"/>
      <c r="C22"/>
      <c r="D22" s="71"/>
      <c r="E22"/>
      <c r="F22"/>
      <c r="G22"/>
      <c r="H22" s="71"/>
      <c r="I22"/>
      <c r="J22"/>
      <c r="K22"/>
      <c r="P22" s="13" t="s">
        <v>302</v>
      </c>
      <c r="Y22" s="13" t="s">
        <v>306</v>
      </c>
      <c r="AG22" s="13" t="s">
        <v>303</v>
      </c>
    </row>
    <row r="23" spans="1:33" ht="15" thickBot="1" x14ac:dyDescent="0.4">
      <c r="A23"/>
      <c r="B23" t="s">
        <v>0</v>
      </c>
      <c r="C23"/>
      <c r="D23" s="71"/>
      <c r="E23" t="s">
        <v>1</v>
      </c>
      <c r="F23"/>
      <c r="G23"/>
      <c r="H23" s="71"/>
      <c r="I23" t="s">
        <v>46</v>
      </c>
      <c r="J23"/>
      <c r="K23"/>
      <c r="P23" s="14"/>
    </row>
    <row r="24" spans="1:33" ht="15" thickBot="1" x14ac:dyDescent="0.4">
      <c r="A24"/>
      <c r="B24" t="s">
        <v>4</v>
      </c>
      <c r="C24"/>
      <c r="D24" s="71"/>
      <c r="E24" s="27">
        <v>88.8</v>
      </c>
      <c r="F24" t="s">
        <v>84</v>
      </c>
      <c r="G24"/>
      <c r="H24" s="71" t="s">
        <v>81</v>
      </c>
      <c r="I24" s="27">
        <v>183.8</v>
      </c>
      <c r="J24"/>
      <c r="K24"/>
      <c r="P24" s="14"/>
    </row>
    <row r="25" spans="1:33" x14ac:dyDescent="0.35">
      <c r="A25"/>
      <c r="B25" t="s">
        <v>7</v>
      </c>
      <c r="C25"/>
      <c r="D25" s="71"/>
      <c r="E25" t="s">
        <v>8</v>
      </c>
      <c r="F25"/>
      <c r="G25"/>
      <c r="H25" s="71"/>
      <c r="I25" t="s">
        <v>48</v>
      </c>
      <c r="J25"/>
      <c r="K25"/>
      <c r="P25" s="14"/>
    </row>
    <row r="26" spans="1:33" x14ac:dyDescent="0.35">
      <c r="A26"/>
      <c r="B26"/>
      <c r="C26"/>
      <c r="D26" s="71"/>
      <c r="E26"/>
      <c r="F26"/>
      <c r="G26"/>
      <c r="H26" s="71"/>
      <c r="I26"/>
      <c r="J26"/>
      <c r="K26"/>
      <c r="P26" s="14"/>
    </row>
    <row r="27" spans="1:33" x14ac:dyDescent="0.35">
      <c r="A27"/>
      <c r="B27" t="s">
        <v>22</v>
      </c>
      <c r="C27"/>
      <c r="D27" s="71"/>
      <c r="E27" s="46">
        <v>0.35399999999999998</v>
      </c>
      <c r="F27"/>
      <c r="G27"/>
      <c r="H27" s="71"/>
      <c r="I27" s="47">
        <v>0.09</v>
      </c>
      <c r="J27"/>
      <c r="K27"/>
      <c r="P27" s="14"/>
    </row>
    <row r="28" spans="1:33" x14ac:dyDescent="0.35">
      <c r="A28"/>
      <c r="B28"/>
      <c r="C28"/>
      <c r="D28" s="71"/>
      <c r="E28"/>
      <c r="F28"/>
      <c r="G28"/>
      <c r="H28" s="71"/>
      <c r="I28"/>
      <c r="J28"/>
      <c r="K28"/>
      <c r="P28" s="14"/>
    </row>
    <row r="29" spans="1:33" ht="15" thickBot="1" x14ac:dyDescent="0.4">
      <c r="A29" s="23" t="s">
        <v>308</v>
      </c>
      <c r="B29"/>
      <c r="C29"/>
      <c r="D29" s="71"/>
      <c r="E29" t="s">
        <v>251</v>
      </c>
      <c r="F29"/>
      <c r="G29"/>
      <c r="H29" s="71"/>
      <c r="I29" t="s">
        <v>249</v>
      </c>
      <c r="J29"/>
      <c r="K29"/>
      <c r="P29" s="14"/>
    </row>
    <row r="30" spans="1:33" x14ac:dyDescent="0.35">
      <c r="A30"/>
      <c r="B30"/>
      <c r="C30" s="32" t="s">
        <v>38</v>
      </c>
      <c r="D30" s="71"/>
      <c r="E30" s="44">
        <v>1692</v>
      </c>
      <c r="F30" t="s">
        <v>85</v>
      </c>
      <c r="G30"/>
      <c r="H30" s="71"/>
      <c r="I30" s="44">
        <v>1525</v>
      </c>
      <c r="J30" t="s">
        <v>85</v>
      </c>
      <c r="K30"/>
      <c r="P30" s="14"/>
    </row>
    <row r="31" spans="1:33" ht="15" thickBot="1" x14ac:dyDescent="0.4">
      <c r="A31"/>
      <c r="B31"/>
      <c r="C31" s="32" t="s">
        <v>39</v>
      </c>
      <c r="D31" s="71"/>
      <c r="E31" s="45">
        <v>1715</v>
      </c>
      <c r="F31" t="s">
        <v>85</v>
      </c>
      <c r="G31"/>
      <c r="H31" s="71"/>
      <c r="I31" s="45">
        <v>1553</v>
      </c>
      <c r="J31" t="s">
        <v>85</v>
      </c>
      <c r="K31"/>
      <c r="P31" s="14"/>
    </row>
    <row r="32" spans="1:33" x14ac:dyDescent="0.35">
      <c r="A32"/>
      <c r="B32"/>
      <c r="C32" s="32" t="s">
        <v>82</v>
      </c>
      <c r="D32" s="71"/>
      <c r="E32" s="2">
        <f>AVERAGE(E30:E31)</f>
        <v>1703.5</v>
      </c>
      <c r="F32" t="s">
        <v>85</v>
      </c>
      <c r="G32"/>
      <c r="H32" s="71"/>
      <c r="I32" s="2">
        <f>AVERAGE(I30:I31)</f>
        <v>1539</v>
      </c>
      <c r="J32" t="s">
        <v>85</v>
      </c>
      <c r="K32"/>
      <c r="P32" s="14"/>
    </row>
    <row r="33" spans="1:33" x14ac:dyDescent="0.35">
      <c r="A33"/>
      <c r="B33"/>
      <c r="C33" s="32"/>
      <c r="D33" s="71"/>
      <c r="F33"/>
      <c r="G33"/>
      <c r="H33" s="71"/>
      <c r="J33"/>
      <c r="K33"/>
      <c r="P33" s="14"/>
    </row>
    <row r="34" spans="1:33" x14ac:dyDescent="0.35">
      <c r="A34"/>
      <c r="B34"/>
      <c r="C34" s="32" t="s">
        <v>83</v>
      </c>
      <c r="D34" s="71"/>
      <c r="E34" s="2">
        <v>31536</v>
      </c>
      <c r="F34" t="s">
        <v>90</v>
      </c>
      <c r="G34"/>
      <c r="H34" s="71"/>
      <c r="I34" s="2">
        <v>31536</v>
      </c>
      <c r="J34" t="s">
        <v>90</v>
      </c>
      <c r="K34"/>
      <c r="P34" s="14"/>
    </row>
    <row r="35" spans="1:33" x14ac:dyDescent="0.35">
      <c r="A35"/>
      <c r="B35"/>
      <c r="C35" s="32" t="s">
        <v>80</v>
      </c>
      <c r="D35" s="71"/>
      <c r="E35" s="3">
        <f>(Catchment_AreaD*SAARD)/E34</f>
        <v>4.7967656012176558</v>
      </c>
      <c r="F35" t="s">
        <v>65</v>
      </c>
      <c r="G35"/>
      <c r="H35" s="71"/>
      <c r="I35" s="3">
        <f>(Catchment_Area*SAARK)/correction</f>
        <v>8.9696917808219183</v>
      </c>
      <c r="J35" t="s">
        <v>65</v>
      </c>
      <c r="K35"/>
      <c r="P35" s="14"/>
    </row>
    <row r="36" spans="1:33" x14ac:dyDescent="0.35">
      <c r="A36"/>
      <c r="B36"/>
      <c r="C36" s="32"/>
      <c r="D36" s="71"/>
      <c r="E36"/>
      <c r="F36"/>
      <c r="G36"/>
      <c r="H36" s="71"/>
      <c r="I36"/>
      <c r="J36"/>
      <c r="K36"/>
      <c r="P36" s="14"/>
    </row>
    <row r="37" spans="1:33" ht="15.5" x14ac:dyDescent="0.35">
      <c r="A37"/>
      <c r="B37" s="145" t="s">
        <v>349</v>
      </c>
      <c r="C37" s="32"/>
      <c r="D37" s="71"/>
      <c r="E37"/>
      <c r="F37"/>
      <c r="G37"/>
      <c r="H37" s="71"/>
      <c r="I37"/>
      <c r="J37"/>
      <c r="K37"/>
      <c r="P37" s="14"/>
    </row>
    <row r="38" spans="1:33" x14ac:dyDescent="0.35">
      <c r="A38"/>
      <c r="B38"/>
      <c r="C38" s="164" t="s">
        <v>350</v>
      </c>
      <c r="D38" s="71"/>
      <c r="E38"/>
      <c r="F38"/>
      <c r="G38"/>
      <c r="H38" s="71"/>
      <c r="I38"/>
      <c r="J38"/>
      <c r="K38"/>
      <c r="P38" s="14"/>
    </row>
    <row r="39" spans="1:33" x14ac:dyDescent="0.35">
      <c r="A39"/>
      <c r="B39"/>
      <c r="C39"/>
      <c r="D39" s="71"/>
      <c r="E39"/>
      <c r="F39"/>
      <c r="G39"/>
      <c r="H39" s="71"/>
      <c r="I39"/>
      <c r="J39"/>
      <c r="K39"/>
      <c r="P39" s="14"/>
    </row>
    <row r="40" spans="1:33" x14ac:dyDescent="0.35">
      <c r="A40"/>
      <c r="B40"/>
      <c r="C40" s="32" t="s">
        <v>235</v>
      </c>
      <c r="D40" s="71"/>
      <c r="E40"/>
      <c r="F40"/>
      <c r="G40"/>
      <c r="H40" s="71"/>
      <c r="I40"/>
      <c r="J40"/>
      <c r="K40"/>
      <c r="P40" s="14"/>
    </row>
    <row r="41" spans="1:33" x14ac:dyDescent="0.35">
      <c r="A41"/>
      <c r="B41"/>
      <c r="C41" s="32" t="s">
        <v>309</v>
      </c>
      <c r="D41" s="71"/>
      <c r="E41" s="97">
        <f>Mean_FlowD/Gross_mean_flowD</f>
        <v>0.57684703194535891</v>
      </c>
      <c r="F41"/>
      <c r="G41"/>
      <c r="H41" s="71"/>
      <c r="I41" s="97">
        <f>Mean_Flow/Gross_mean_flow</f>
        <v>0.70069297291105892</v>
      </c>
      <c r="J41"/>
      <c r="K41"/>
      <c r="P41" s="14"/>
    </row>
    <row r="42" spans="1:33" x14ac:dyDescent="0.35">
      <c r="A42"/>
      <c r="B42"/>
      <c r="C42"/>
      <c r="D42" s="71"/>
      <c r="E42"/>
      <c r="F42"/>
      <c r="G42"/>
      <c r="H42" s="71"/>
      <c r="I42"/>
      <c r="J42"/>
      <c r="K42"/>
      <c r="P42" s="14"/>
    </row>
    <row r="43" spans="1:33" x14ac:dyDescent="0.35">
      <c r="A43"/>
      <c r="B43"/>
      <c r="C43"/>
      <c r="D43" s="71"/>
      <c r="E43"/>
      <c r="F43"/>
      <c r="G43"/>
      <c r="H43" s="71"/>
      <c r="I43"/>
      <c r="J43"/>
      <c r="K43"/>
      <c r="P43" s="14"/>
    </row>
    <row r="44" spans="1:33" x14ac:dyDescent="0.35">
      <c r="A44"/>
      <c r="B44"/>
      <c r="C44"/>
      <c r="D44" s="71"/>
      <c r="E44"/>
      <c r="F44"/>
      <c r="G44"/>
      <c r="H44" s="71"/>
      <c r="I44"/>
      <c r="J44"/>
      <c r="K44"/>
      <c r="P44" s="14"/>
    </row>
    <row r="45" spans="1:33" x14ac:dyDescent="0.35">
      <c r="A45"/>
      <c r="B45"/>
      <c r="C45"/>
      <c r="D45" s="71"/>
      <c r="E45"/>
      <c r="F45"/>
      <c r="G45"/>
      <c r="H45" s="71"/>
      <c r="I45"/>
      <c r="J45"/>
      <c r="K45"/>
      <c r="P45" s="14"/>
    </row>
    <row r="46" spans="1:33" x14ac:dyDescent="0.35">
      <c r="A46"/>
      <c r="B46"/>
      <c r="C46"/>
      <c r="D46" s="71"/>
      <c r="E46"/>
      <c r="F46"/>
      <c r="G46"/>
      <c r="H46" s="71"/>
      <c r="I46"/>
      <c r="J46"/>
      <c r="K46"/>
      <c r="P46" s="14"/>
    </row>
    <row r="47" spans="1:33" x14ac:dyDescent="0.35">
      <c r="A47"/>
      <c r="B47"/>
      <c r="C47"/>
      <c r="D47" s="71"/>
      <c r="E47"/>
      <c r="F47"/>
      <c r="G47"/>
      <c r="H47" s="71"/>
      <c r="I47"/>
      <c r="J47"/>
      <c r="K47"/>
      <c r="P47" s="14"/>
    </row>
    <row r="48" spans="1:33" x14ac:dyDescent="0.35">
      <c r="A48"/>
      <c r="B48"/>
      <c r="C48"/>
      <c r="D48" s="71"/>
      <c r="E48"/>
      <c r="F48"/>
      <c r="G48"/>
      <c r="H48" s="71"/>
      <c r="I48"/>
      <c r="J48"/>
      <c r="K48"/>
      <c r="P48" s="13"/>
      <c r="Y48" s="13"/>
      <c r="AG48" s="13" t="s">
        <v>303</v>
      </c>
    </row>
    <row r="49" spans="1:40" x14ac:dyDescent="0.35">
      <c r="A49" s="42"/>
      <c r="B49" s="42"/>
      <c r="C49" s="42"/>
      <c r="D49" s="41"/>
      <c r="E49" s="42"/>
      <c r="F49" s="42"/>
      <c r="G49" s="42"/>
      <c r="H49" s="41"/>
      <c r="I49" s="42"/>
      <c r="J49" s="42"/>
      <c r="K49" s="42"/>
      <c r="L49" s="18"/>
      <c r="M49" s="10"/>
      <c r="N49" s="10"/>
      <c r="O49" s="10"/>
      <c r="P49" s="105"/>
      <c r="Q49" s="10"/>
      <c r="R49" s="10"/>
      <c r="S49" s="10"/>
      <c r="T49" s="10"/>
      <c r="U49" s="10"/>
      <c r="V49" s="10"/>
      <c r="W49" s="10"/>
      <c r="X49" s="18"/>
      <c r="Y49" s="10"/>
      <c r="Z49" s="10"/>
      <c r="AA49" s="10"/>
      <c r="AB49" s="10"/>
      <c r="AC49" s="18"/>
      <c r="AD49" s="10"/>
      <c r="AE49" s="10"/>
      <c r="AF49" s="10"/>
      <c r="AG49" s="10"/>
      <c r="AH49" s="10"/>
      <c r="AI49" s="10"/>
      <c r="AJ49" s="10"/>
      <c r="AK49" s="10"/>
      <c r="AL49" s="10"/>
      <c r="AM49" s="10"/>
      <c r="AN49" s="19"/>
    </row>
    <row r="50" spans="1:40" x14ac:dyDescent="0.35">
      <c r="A50"/>
      <c r="B50"/>
      <c r="C50"/>
      <c r="D50" s="71"/>
      <c r="E50"/>
      <c r="F50"/>
      <c r="G50"/>
      <c r="H50" s="71"/>
      <c r="I50"/>
      <c r="J50"/>
      <c r="K50"/>
      <c r="P50" s="14"/>
    </row>
    <row r="51" spans="1:40" x14ac:dyDescent="0.35">
      <c r="A51"/>
      <c r="B51"/>
      <c r="C51"/>
      <c r="D51" s="71"/>
      <c r="E51"/>
      <c r="F51"/>
      <c r="G51"/>
      <c r="H51" s="71"/>
      <c r="I51"/>
      <c r="J51"/>
      <c r="K51"/>
      <c r="P51" s="13" t="s">
        <v>302</v>
      </c>
      <c r="Y51" s="13" t="s">
        <v>310</v>
      </c>
      <c r="AG51" s="13" t="s">
        <v>303</v>
      </c>
    </row>
    <row r="52" spans="1:40" x14ac:dyDescent="0.35">
      <c r="A52"/>
      <c r="B52"/>
      <c r="C52"/>
      <c r="D52" s="71"/>
      <c r="E52"/>
      <c r="F52"/>
      <c r="G52"/>
      <c r="H52" s="71"/>
      <c r="I52"/>
      <c r="J52"/>
      <c r="K52"/>
      <c r="P52" s="14"/>
    </row>
    <row r="53" spans="1:40" x14ac:dyDescent="0.35">
      <c r="A53"/>
      <c r="B53"/>
      <c r="C53"/>
      <c r="D53" s="71"/>
      <c r="E53"/>
      <c r="F53"/>
      <c r="G53"/>
      <c r="H53" s="71"/>
      <c r="I53"/>
      <c r="J53"/>
      <c r="K53"/>
      <c r="P53" s="14"/>
    </row>
    <row r="54" spans="1:40" x14ac:dyDescent="0.35">
      <c r="A54"/>
      <c r="B54"/>
      <c r="C54"/>
      <c r="D54" s="71"/>
      <c r="E54"/>
      <c r="F54"/>
      <c r="G54"/>
      <c r="H54" s="71"/>
      <c r="I54"/>
      <c r="J54"/>
      <c r="K54"/>
      <c r="P54" s="14"/>
    </row>
    <row r="55" spans="1:40" x14ac:dyDescent="0.35">
      <c r="A55"/>
      <c r="B55"/>
      <c r="C55"/>
      <c r="D55" s="71"/>
      <c r="E55"/>
      <c r="F55"/>
      <c r="G55"/>
      <c r="H55" s="71"/>
      <c r="I55"/>
      <c r="J55"/>
      <c r="K55"/>
      <c r="P55" s="14"/>
    </row>
    <row r="56" spans="1:40" x14ac:dyDescent="0.35">
      <c r="A56"/>
      <c r="B56"/>
      <c r="C56"/>
      <c r="D56" s="71"/>
      <c r="E56"/>
      <c r="F56"/>
      <c r="G56"/>
      <c r="H56" s="71"/>
      <c r="I56"/>
      <c r="J56"/>
      <c r="K56"/>
      <c r="P56" s="14"/>
    </row>
    <row r="57" spans="1:40" x14ac:dyDescent="0.35">
      <c r="A57"/>
      <c r="B57"/>
      <c r="C57"/>
      <c r="D57" s="71"/>
      <c r="E57"/>
      <c r="F57"/>
      <c r="G57"/>
      <c r="H57" s="71"/>
      <c r="I57"/>
      <c r="J57"/>
      <c r="K57"/>
      <c r="P57" s="14"/>
    </row>
    <row r="58" spans="1:40" x14ac:dyDescent="0.35">
      <c r="A58"/>
      <c r="B58"/>
      <c r="C58"/>
      <c r="D58" s="71"/>
      <c r="E58"/>
      <c r="F58"/>
      <c r="G58"/>
      <c r="H58" s="71"/>
      <c r="I58"/>
      <c r="J58"/>
      <c r="K58"/>
      <c r="P58" s="14"/>
    </row>
    <row r="59" spans="1:40" x14ac:dyDescent="0.35">
      <c r="A59"/>
      <c r="B59"/>
      <c r="C59"/>
      <c r="D59" s="71"/>
      <c r="E59"/>
      <c r="F59"/>
      <c r="G59"/>
      <c r="H59" s="71"/>
      <c r="I59"/>
      <c r="J59"/>
      <c r="K59"/>
      <c r="P59" s="14"/>
    </row>
    <row r="60" spans="1:40" x14ac:dyDescent="0.35">
      <c r="A60"/>
      <c r="B60"/>
      <c r="C60"/>
      <c r="D60" s="71"/>
      <c r="E60"/>
      <c r="F60"/>
      <c r="G60"/>
      <c r="H60" s="71"/>
      <c r="I60"/>
      <c r="J60"/>
      <c r="K60"/>
      <c r="P60" s="14"/>
    </row>
    <row r="61" spans="1:40" x14ac:dyDescent="0.35">
      <c r="A61"/>
      <c r="B61"/>
      <c r="C61"/>
      <c r="D61" s="71"/>
      <c r="E61"/>
      <c r="F61"/>
      <c r="G61"/>
      <c r="H61" s="71"/>
      <c r="I61"/>
      <c r="J61"/>
      <c r="K61"/>
      <c r="P61" s="14"/>
    </row>
    <row r="62" spans="1:40" x14ac:dyDescent="0.35">
      <c r="A62"/>
      <c r="B62"/>
      <c r="C62"/>
      <c r="D62" s="71"/>
      <c r="E62"/>
      <c r="F62"/>
      <c r="G62"/>
      <c r="H62" s="71"/>
      <c r="I62"/>
      <c r="J62"/>
      <c r="K62"/>
      <c r="P62" s="14"/>
    </row>
    <row r="63" spans="1:40" x14ac:dyDescent="0.35">
      <c r="A63"/>
      <c r="B63"/>
      <c r="C63"/>
      <c r="D63" s="71"/>
      <c r="E63"/>
      <c r="F63"/>
      <c r="G63"/>
      <c r="H63" s="71"/>
      <c r="I63"/>
      <c r="J63"/>
      <c r="K63"/>
      <c r="P63" s="14"/>
    </row>
    <row r="64" spans="1:40" x14ac:dyDescent="0.35">
      <c r="A64"/>
      <c r="B64"/>
      <c r="C64"/>
      <c r="D64" s="71"/>
      <c r="E64"/>
      <c r="F64"/>
      <c r="G64"/>
      <c r="H64" s="71"/>
      <c r="I64"/>
      <c r="J64"/>
      <c r="K64"/>
      <c r="P64" s="14"/>
    </row>
    <row r="65" spans="1:33" x14ac:dyDescent="0.35">
      <c r="A65"/>
      <c r="B65"/>
      <c r="C65"/>
      <c r="D65" s="71"/>
      <c r="E65"/>
      <c r="F65"/>
      <c r="G65"/>
      <c r="H65" s="71"/>
      <c r="I65"/>
      <c r="J65"/>
      <c r="K65"/>
      <c r="P65" s="14"/>
    </row>
    <row r="66" spans="1:33" x14ac:dyDescent="0.35">
      <c r="A66"/>
      <c r="B66"/>
      <c r="C66"/>
      <c r="D66" s="71"/>
      <c r="E66"/>
      <c r="F66"/>
      <c r="G66"/>
      <c r="H66" s="71"/>
      <c r="I66"/>
      <c r="J66"/>
      <c r="K66"/>
      <c r="P66" s="14"/>
    </row>
    <row r="67" spans="1:33" x14ac:dyDescent="0.35">
      <c r="A67"/>
      <c r="B67"/>
      <c r="C67"/>
      <c r="D67" s="71"/>
      <c r="E67"/>
      <c r="F67"/>
      <c r="G67"/>
      <c r="H67" s="71"/>
      <c r="I67"/>
      <c r="J67"/>
      <c r="K67"/>
      <c r="P67" s="14"/>
    </row>
    <row r="68" spans="1:33" x14ac:dyDescent="0.35">
      <c r="A68"/>
      <c r="B68"/>
      <c r="C68"/>
      <c r="D68" s="71"/>
      <c r="E68"/>
      <c r="F68"/>
      <c r="G68"/>
      <c r="H68" s="71"/>
      <c r="I68"/>
      <c r="J68"/>
      <c r="K68"/>
      <c r="P68" s="14"/>
    </row>
    <row r="69" spans="1:33" x14ac:dyDescent="0.35">
      <c r="A69"/>
      <c r="B69"/>
      <c r="C69"/>
      <c r="D69" s="71"/>
      <c r="E69"/>
      <c r="F69"/>
      <c r="G69"/>
      <c r="H69" s="71"/>
      <c r="I69"/>
      <c r="J69"/>
      <c r="K69"/>
      <c r="P69" s="14"/>
    </row>
    <row r="70" spans="1:33" ht="15.5" x14ac:dyDescent="0.35">
      <c r="A70"/>
      <c r="B70" s="145" t="s">
        <v>351</v>
      </c>
      <c r="C70"/>
      <c r="D70" s="71"/>
      <c r="E70"/>
      <c r="F70"/>
      <c r="G70"/>
      <c r="H70" s="71"/>
      <c r="I70"/>
      <c r="J70"/>
      <c r="K70"/>
      <c r="P70" s="14"/>
    </row>
    <row r="71" spans="1:33" x14ac:dyDescent="0.35">
      <c r="A71"/>
      <c r="B71"/>
      <c r="C71"/>
      <c r="D71" s="71"/>
      <c r="E71"/>
      <c r="F71"/>
      <c r="G71"/>
      <c r="H71" s="71"/>
      <c r="I71"/>
      <c r="J71"/>
      <c r="K71"/>
      <c r="P71" s="14"/>
    </row>
    <row r="72" spans="1:33" x14ac:dyDescent="0.35">
      <c r="A72"/>
      <c r="B72"/>
      <c r="C72"/>
      <c r="D72" s="71"/>
      <c r="E72"/>
      <c r="F72"/>
      <c r="G72"/>
      <c r="H72" s="71"/>
      <c r="I72"/>
      <c r="J72"/>
      <c r="K72"/>
      <c r="P72" s="14"/>
    </row>
    <row r="73" spans="1:33" x14ac:dyDescent="0.35">
      <c r="A73" s="23" t="s">
        <v>311</v>
      </c>
      <c r="B73"/>
      <c r="C73"/>
      <c r="D73" s="71"/>
      <c r="E73"/>
      <c r="F73"/>
      <c r="G73"/>
      <c r="H73" s="71"/>
      <c r="I73"/>
      <c r="J73"/>
      <c r="K73"/>
      <c r="P73" s="13" t="s">
        <v>302</v>
      </c>
      <c r="Y73" s="13" t="s">
        <v>312</v>
      </c>
      <c r="AG73" s="13" t="s">
        <v>303</v>
      </c>
    </row>
    <row r="74" spans="1:33" x14ac:dyDescent="0.35">
      <c r="A74"/>
      <c r="B74"/>
      <c r="C74" t="s">
        <v>23</v>
      </c>
      <c r="D74" s="71"/>
      <c r="E74"/>
      <c r="F74"/>
      <c r="G74"/>
      <c r="H74" s="71"/>
      <c r="I74" t="s">
        <v>52</v>
      </c>
      <c r="J74"/>
      <c r="K74"/>
      <c r="P74" s="14"/>
    </row>
    <row r="75" spans="1:33" x14ac:dyDescent="0.35">
      <c r="A75"/>
      <c r="B75"/>
      <c r="C75" t="s">
        <v>24</v>
      </c>
      <c r="D75" s="71"/>
      <c r="E75"/>
      <c r="F75"/>
      <c r="G75"/>
      <c r="H75" s="71"/>
      <c r="I75" t="s">
        <v>53</v>
      </c>
      <c r="J75"/>
      <c r="K75"/>
      <c r="P75" s="14"/>
      <c r="Y75" s="13" t="s">
        <v>359</v>
      </c>
      <c r="Z75" s="13"/>
    </row>
    <row r="76" spans="1:33" x14ac:dyDescent="0.35">
      <c r="A76"/>
      <c r="B76"/>
      <c r="C76" t="s">
        <v>25</v>
      </c>
      <c r="D76" s="71"/>
      <c r="E76"/>
      <c r="F76"/>
      <c r="G76"/>
      <c r="H76" s="71"/>
      <c r="I76">
        <v>0.23</v>
      </c>
      <c r="J76"/>
      <c r="K76"/>
      <c r="P76" s="14"/>
      <c r="Y76" s="9" t="s">
        <v>360</v>
      </c>
    </row>
    <row r="77" spans="1:33" x14ac:dyDescent="0.35">
      <c r="A77"/>
      <c r="B77" t="s">
        <v>354</v>
      </c>
      <c r="C77"/>
      <c r="D77" s="71"/>
      <c r="E77" t="s">
        <v>355</v>
      </c>
      <c r="F77"/>
      <c r="G77"/>
      <c r="H77" s="71"/>
      <c r="I77"/>
      <c r="J77"/>
      <c r="K77"/>
      <c r="P77" s="14"/>
      <c r="Y77" s="9" t="s">
        <v>358</v>
      </c>
    </row>
    <row r="78" spans="1:33" x14ac:dyDescent="0.35">
      <c r="A78"/>
      <c r="B78" t="s">
        <v>353</v>
      </c>
      <c r="C78"/>
      <c r="D78" s="71"/>
      <c r="E78" t="s">
        <v>353</v>
      </c>
      <c r="F78"/>
      <c r="G78"/>
      <c r="H78" s="71"/>
      <c r="I78" t="s">
        <v>353</v>
      </c>
      <c r="J78"/>
      <c r="K78"/>
      <c r="P78" s="14"/>
    </row>
    <row r="79" spans="1:33" ht="15" thickBot="1" x14ac:dyDescent="0.4">
      <c r="A79"/>
      <c r="B79"/>
      <c r="C79"/>
      <c r="D79" s="71"/>
      <c r="E79"/>
      <c r="F79"/>
      <c r="G79" t="s">
        <v>340</v>
      </c>
      <c r="H79" s="71"/>
      <c r="I79"/>
      <c r="J79"/>
      <c r="K79" t="s">
        <v>341</v>
      </c>
      <c r="P79" s="14"/>
    </row>
    <row r="80" spans="1:33" ht="15" thickBot="1" x14ac:dyDescent="0.4">
      <c r="A80"/>
      <c r="B80"/>
      <c r="C80" t="s">
        <v>26</v>
      </c>
      <c r="D80" s="71"/>
      <c r="E80" s="27">
        <v>2.7669999999999999</v>
      </c>
      <c r="F80" t="s">
        <v>65</v>
      </c>
      <c r="G80" s="65">
        <f>TREND(expercentK,LOG10(QexD),LOG10(Mean_FlowD))</f>
        <v>0.32710476754204371</v>
      </c>
      <c r="H80" s="71"/>
      <c r="I80" s="27">
        <v>6.2850000000000001</v>
      </c>
      <c r="J80" t="s">
        <v>64</v>
      </c>
      <c r="K80" s="65">
        <f>TREND(expercentK,LOG10(QexK),LOG10(Mean_flowK))</f>
        <v>0.32527464059657418</v>
      </c>
      <c r="P80" s="14"/>
    </row>
    <row r="81" spans="1:40" x14ac:dyDescent="0.35">
      <c r="A81"/>
      <c r="B81"/>
      <c r="C81"/>
      <c r="D81" s="71"/>
      <c r="E81"/>
      <c r="F81"/>
      <c r="G81" s="106"/>
      <c r="H81" s="71"/>
      <c r="I81"/>
      <c r="J81"/>
      <c r="K81" s="106"/>
      <c r="P81" s="14"/>
    </row>
    <row r="82" spans="1:40" x14ac:dyDescent="0.35">
      <c r="A82"/>
      <c r="B82" t="s">
        <v>354</v>
      </c>
      <c r="C82"/>
      <c r="D82" s="71"/>
      <c r="E82" t="s">
        <v>352</v>
      </c>
      <c r="F82"/>
      <c r="G82"/>
      <c r="H82" s="71"/>
      <c r="I82"/>
      <c r="J82"/>
      <c r="K82" s="106"/>
      <c r="P82" s="14"/>
    </row>
    <row r="83" spans="1:40" x14ac:dyDescent="0.35">
      <c r="A83"/>
      <c r="B83" t="s">
        <v>353</v>
      </c>
      <c r="C83"/>
      <c r="D83" s="71"/>
      <c r="E83" t="s">
        <v>353</v>
      </c>
      <c r="F83"/>
      <c r="G83"/>
      <c r="H83" s="71"/>
      <c r="I83" t="s">
        <v>353</v>
      </c>
      <c r="J83"/>
      <c r="K83" s="106"/>
      <c r="P83" s="14"/>
    </row>
    <row r="84" spans="1:40" x14ac:dyDescent="0.35">
      <c r="A84"/>
      <c r="B84" t="s">
        <v>97</v>
      </c>
      <c r="C84"/>
      <c r="D84" s="71"/>
      <c r="E84" t="s">
        <v>279</v>
      </c>
      <c r="F84"/>
      <c r="G84" s="32" t="s">
        <v>263</v>
      </c>
      <c r="H84" s="71"/>
      <c r="I84" t="s">
        <v>279</v>
      </c>
      <c r="J84"/>
      <c r="K84" s="32" t="s">
        <v>263</v>
      </c>
      <c r="P84" s="14"/>
    </row>
    <row r="85" spans="1:40" ht="15" thickBot="1" x14ac:dyDescent="0.4">
      <c r="A85"/>
      <c r="B85" t="s">
        <v>276</v>
      </c>
      <c r="C85"/>
      <c r="D85" s="71"/>
      <c r="E85" t="s">
        <v>275</v>
      </c>
      <c r="F85"/>
      <c r="G85" t="s">
        <v>273</v>
      </c>
      <c r="H85" s="71"/>
      <c r="I85" t="s">
        <v>277</v>
      </c>
      <c r="J85"/>
      <c r="K85" t="s">
        <v>278</v>
      </c>
      <c r="P85" s="14"/>
    </row>
    <row r="86" spans="1:40" x14ac:dyDescent="0.35">
      <c r="A86"/>
      <c r="B86" s="62">
        <v>0.95</v>
      </c>
      <c r="C86"/>
      <c r="D86" s="71" t="s">
        <v>313</v>
      </c>
      <c r="E86" s="44">
        <v>0.153</v>
      </c>
      <c r="F86" t="s">
        <v>65</v>
      </c>
      <c r="G86" s="65">
        <f>'2 References'!$E86/Mean_FlowD</f>
        <v>5.529454282616552E-2</v>
      </c>
      <c r="H86" s="71" t="s">
        <v>324</v>
      </c>
      <c r="I86" s="44">
        <v>0.318</v>
      </c>
      <c r="J86" t="s">
        <v>64</v>
      </c>
      <c r="K86" s="65">
        <f>$I86/Mean_Flow</f>
        <v>5.0596658711217185E-2</v>
      </c>
      <c r="P86" s="14"/>
    </row>
    <row r="87" spans="1:40" x14ac:dyDescent="0.35">
      <c r="A87"/>
      <c r="B87" s="63">
        <v>0.7</v>
      </c>
      <c r="C87"/>
      <c r="D87" s="71" t="s">
        <v>314</v>
      </c>
      <c r="E87" s="48">
        <v>0.50700000000000001</v>
      </c>
      <c r="F87" t="s">
        <v>65</v>
      </c>
      <c r="G87" s="65">
        <f>'2 References'!$E87/Mean_FlowD</f>
        <v>0.1832309360318034</v>
      </c>
      <c r="H87" s="71" t="s">
        <v>325</v>
      </c>
      <c r="I87" s="48">
        <v>1.3149999999999999</v>
      </c>
      <c r="J87" t="s">
        <v>64</v>
      </c>
      <c r="K87" s="65">
        <f>$I87/Mean_Flow</f>
        <v>0.2092283214001591</v>
      </c>
      <c r="P87" s="14"/>
    </row>
    <row r="88" spans="1:40" x14ac:dyDescent="0.35">
      <c r="A88"/>
      <c r="B88" s="63">
        <v>0.5</v>
      </c>
      <c r="C88"/>
      <c r="D88" s="71" t="s">
        <v>315</v>
      </c>
      <c r="E88" s="48">
        <v>1.1180000000000001</v>
      </c>
      <c r="F88" t="s">
        <v>65</v>
      </c>
      <c r="G88" s="65">
        <f>'2 References'!$E88/Mean_FlowD</f>
        <v>0.40404770509577165</v>
      </c>
      <c r="H88" s="71" t="s">
        <v>326</v>
      </c>
      <c r="I88" s="48">
        <v>2.6040000000000001</v>
      </c>
      <c r="J88" t="s">
        <v>64</v>
      </c>
      <c r="K88" s="65">
        <f>$I88/Mean_Flow</f>
        <v>0.4143198090692124</v>
      </c>
      <c r="P88" s="14"/>
    </row>
    <row r="89" spans="1:40" x14ac:dyDescent="0.35">
      <c r="A89"/>
      <c r="B89" s="63">
        <v>0.1</v>
      </c>
      <c r="C89"/>
      <c r="D89" s="71" t="s">
        <v>316</v>
      </c>
      <c r="E89" s="48">
        <v>7.4189999999999996</v>
      </c>
      <c r="F89" t="s">
        <v>65</v>
      </c>
      <c r="G89" s="65">
        <f>'2 References'!$E89/Mean_FlowD</f>
        <v>2.6812432237079871</v>
      </c>
      <c r="H89" s="71" t="s">
        <v>327</v>
      </c>
      <c r="I89" s="48">
        <v>16.29</v>
      </c>
      <c r="J89" t="s">
        <v>64</v>
      </c>
      <c r="K89" s="65">
        <f>$I89/Mean_Flow</f>
        <v>2.5918854415274462</v>
      </c>
      <c r="P89" s="14"/>
    </row>
    <row r="90" spans="1:40" ht="15" thickBot="1" x14ac:dyDescent="0.4">
      <c r="A90"/>
      <c r="B90" s="64">
        <v>0.05</v>
      </c>
      <c r="C90"/>
      <c r="D90" s="71" t="s">
        <v>317</v>
      </c>
      <c r="E90" s="45">
        <v>11.21</v>
      </c>
      <c r="F90" t="s">
        <v>65</v>
      </c>
      <c r="G90" s="65">
        <f>'2 References'!$E90/Mean_FlowD</f>
        <v>4.0513191181785331</v>
      </c>
      <c r="H90" s="71" t="s">
        <v>328</v>
      </c>
      <c r="I90" s="45">
        <v>24.06</v>
      </c>
      <c r="J90" t="s">
        <v>64</v>
      </c>
      <c r="K90" s="65">
        <f>$I90/Mean_Flow</f>
        <v>3.8281622911694506</v>
      </c>
      <c r="P90" s="14"/>
    </row>
    <row r="91" spans="1:40" x14ac:dyDescent="0.35">
      <c r="A91"/>
      <c r="B91"/>
      <c r="C91"/>
      <c r="D91" s="71"/>
      <c r="E91"/>
      <c r="F91"/>
      <c r="G91"/>
      <c r="H91" s="71"/>
      <c r="I91"/>
      <c r="J91"/>
      <c r="K91"/>
      <c r="P91" s="14"/>
    </row>
    <row r="92" spans="1:40" x14ac:dyDescent="0.35">
      <c r="A92"/>
      <c r="B92"/>
      <c r="C92"/>
      <c r="D92" s="71"/>
      <c r="E92"/>
      <c r="F92"/>
      <c r="G92" t="s">
        <v>356</v>
      </c>
      <c r="H92" s="71"/>
      <c r="I92"/>
      <c r="J92"/>
      <c r="K92" t="s">
        <v>356</v>
      </c>
      <c r="P92" s="14"/>
    </row>
    <row r="93" spans="1:40" x14ac:dyDescent="0.35">
      <c r="A93"/>
      <c r="B93"/>
      <c r="C93"/>
      <c r="D93" s="71"/>
      <c r="E93" t="s">
        <v>357</v>
      </c>
      <c r="F93"/>
      <c r="G93"/>
      <c r="H93" s="71"/>
      <c r="I93"/>
      <c r="J93"/>
      <c r="K93"/>
      <c r="P93" s="14"/>
    </row>
    <row r="94" spans="1:40" x14ac:dyDescent="0.35">
      <c r="A94"/>
      <c r="B94"/>
      <c r="C94"/>
      <c r="D94" s="71"/>
      <c r="E94"/>
      <c r="F94"/>
      <c r="G94"/>
      <c r="H94" s="71"/>
      <c r="I94"/>
      <c r="J94"/>
      <c r="K94"/>
      <c r="P94" s="14"/>
    </row>
    <row r="95" spans="1:40" x14ac:dyDescent="0.35">
      <c r="A95" s="42"/>
      <c r="B95" s="42"/>
      <c r="C95" s="42"/>
      <c r="D95" s="41"/>
      <c r="E95" s="42"/>
      <c r="F95" s="42"/>
      <c r="G95" s="42"/>
      <c r="H95" s="41"/>
      <c r="I95" s="42"/>
      <c r="J95" s="42"/>
      <c r="K95" s="42"/>
      <c r="L95" s="18"/>
      <c r="M95" s="10"/>
      <c r="N95" s="10"/>
      <c r="O95" s="10"/>
      <c r="P95" s="105"/>
      <c r="Q95" s="10"/>
      <c r="R95" s="10"/>
      <c r="S95" s="10"/>
      <c r="T95" s="10"/>
      <c r="U95" s="10"/>
      <c r="V95" s="10"/>
      <c r="W95" s="10"/>
      <c r="X95" s="18"/>
      <c r="Y95" s="10"/>
      <c r="Z95" s="10"/>
      <c r="AA95" s="10"/>
      <c r="AB95" s="10"/>
      <c r="AC95" s="18"/>
      <c r="AD95" s="10"/>
      <c r="AE95" s="10"/>
      <c r="AF95" s="10"/>
      <c r="AG95" s="10"/>
      <c r="AH95" s="10"/>
      <c r="AI95" s="10"/>
      <c r="AJ95" s="10"/>
      <c r="AK95" s="10"/>
      <c r="AL95" s="10"/>
      <c r="AM95" s="10"/>
      <c r="AN95" s="19"/>
    </row>
    <row r="96" spans="1:40" x14ac:dyDescent="0.35">
      <c r="A96" s="13" t="s">
        <v>318</v>
      </c>
      <c r="P96" s="13" t="s">
        <v>302</v>
      </c>
      <c r="Y96" s="13" t="s">
        <v>319</v>
      </c>
      <c r="AG96" s="13" t="s">
        <v>303</v>
      </c>
    </row>
    <row r="97" spans="3:16" x14ac:dyDescent="0.35">
      <c r="C97" s="32" t="s">
        <v>28</v>
      </c>
      <c r="E97">
        <v>21.4</v>
      </c>
      <c r="F97" t="s">
        <v>29</v>
      </c>
      <c r="I97">
        <v>4.4000000000000004</v>
      </c>
      <c r="J97" t="s">
        <v>29</v>
      </c>
    </row>
    <row r="98" spans="3:16" x14ac:dyDescent="0.35">
      <c r="C98" s="32" t="s">
        <v>30</v>
      </c>
      <c r="E98">
        <v>45.1</v>
      </c>
      <c r="F98" t="s">
        <v>29</v>
      </c>
      <c r="I98">
        <v>39</v>
      </c>
      <c r="J98" t="s">
        <v>29</v>
      </c>
    </row>
    <row r="99" spans="3:16" x14ac:dyDescent="0.35">
      <c r="C99" s="32" t="s">
        <v>31</v>
      </c>
      <c r="E99">
        <v>183.4</v>
      </c>
      <c r="F99" t="s">
        <v>29</v>
      </c>
      <c r="I99">
        <v>111.3</v>
      </c>
      <c r="J99" t="s">
        <v>29</v>
      </c>
    </row>
    <row r="100" spans="3:16" x14ac:dyDescent="0.35">
      <c r="C100" s="32" t="s">
        <v>32</v>
      </c>
      <c r="E100">
        <v>393.3</v>
      </c>
      <c r="F100" t="s">
        <v>29</v>
      </c>
      <c r="I100">
        <v>352.9</v>
      </c>
      <c r="J100" t="s">
        <v>29</v>
      </c>
    </row>
    <row r="101" spans="3:16" x14ac:dyDescent="0.35">
      <c r="C101" s="32" t="s">
        <v>33</v>
      </c>
      <c r="E101">
        <v>520.4</v>
      </c>
      <c r="F101" t="s">
        <v>29</v>
      </c>
      <c r="I101">
        <v>520.4</v>
      </c>
      <c r="J101" t="s">
        <v>29</v>
      </c>
    </row>
    <row r="112" spans="3:16" x14ac:dyDescent="0.35">
      <c r="P112" s="14"/>
    </row>
    <row r="113" spans="1:40" x14ac:dyDescent="0.35">
      <c r="P113" s="14"/>
    </row>
    <row r="114" spans="1:40" x14ac:dyDescent="0.35">
      <c r="P114" s="14"/>
    </row>
    <row r="115" spans="1:40" x14ac:dyDescent="0.35">
      <c r="P115" s="14"/>
    </row>
    <row r="116" spans="1:40" x14ac:dyDescent="0.35">
      <c r="P116" s="14"/>
    </row>
    <row r="117" spans="1:40" x14ac:dyDescent="0.35">
      <c r="P117" s="14"/>
    </row>
    <row r="118" spans="1:40" x14ac:dyDescent="0.35">
      <c r="P118" s="14"/>
    </row>
    <row r="122" spans="1:40" x14ac:dyDescent="0.35">
      <c r="A122" s="10"/>
      <c r="B122" s="10"/>
      <c r="C122" s="10"/>
      <c r="D122" s="18"/>
      <c r="E122" s="10"/>
      <c r="F122" s="10"/>
      <c r="G122" s="10"/>
      <c r="H122" s="18"/>
      <c r="I122" s="10"/>
      <c r="J122" s="10"/>
      <c r="K122" s="10"/>
      <c r="L122" s="18"/>
      <c r="M122" s="10"/>
      <c r="N122" s="10"/>
      <c r="O122" s="10"/>
      <c r="P122" s="10"/>
      <c r="Q122" s="10"/>
      <c r="R122" s="10"/>
      <c r="S122" s="10"/>
      <c r="T122" s="10"/>
      <c r="U122" s="10"/>
      <c r="V122" s="10"/>
      <c r="W122" s="10"/>
      <c r="X122" s="18"/>
      <c r="Y122" s="10"/>
      <c r="Z122" s="10"/>
      <c r="AA122" s="10"/>
      <c r="AB122" s="10"/>
      <c r="AC122" s="18"/>
      <c r="AD122" s="10"/>
      <c r="AE122" s="10"/>
      <c r="AF122" s="10"/>
      <c r="AG122" s="10"/>
      <c r="AH122" s="10"/>
      <c r="AI122" s="10"/>
      <c r="AJ122" s="10"/>
      <c r="AK122" s="10"/>
      <c r="AL122" s="10"/>
      <c r="AM122" s="10"/>
      <c r="AN122" s="19"/>
    </row>
    <row r="123" spans="1:40" x14ac:dyDescent="0.35">
      <c r="A123" s="13" t="s">
        <v>320</v>
      </c>
      <c r="P123" s="13" t="s">
        <v>302</v>
      </c>
      <c r="Y123" s="13" t="s">
        <v>321</v>
      </c>
      <c r="AG123" s="13" t="s">
        <v>303</v>
      </c>
    </row>
    <row r="124" spans="1:40" x14ac:dyDescent="0.35">
      <c r="C124" s="32" t="s">
        <v>66</v>
      </c>
      <c r="E124">
        <v>7.67</v>
      </c>
      <c r="F124" t="s">
        <v>55</v>
      </c>
      <c r="I124">
        <v>8.18</v>
      </c>
      <c r="J124" t="s">
        <v>55</v>
      </c>
      <c r="P124" s="14"/>
    </row>
    <row r="125" spans="1:40" x14ac:dyDescent="0.35">
      <c r="C125" s="32" t="s">
        <v>67</v>
      </c>
      <c r="E125">
        <v>0.28999999999999998</v>
      </c>
      <c r="F125" t="s">
        <v>55</v>
      </c>
      <c r="I125">
        <v>0.69</v>
      </c>
      <c r="J125" t="s">
        <v>55</v>
      </c>
      <c r="P125" s="14"/>
    </row>
    <row r="126" spans="1:40" x14ac:dyDescent="0.35">
      <c r="C126" s="32" t="s">
        <v>68</v>
      </c>
      <c r="E126">
        <v>65.06</v>
      </c>
      <c r="F126" t="s">
        <v>55</v>
      </c>
      <c r="I126">
        <v>71.86</v>
      </c>
      <c r="J126" t="s">
        <v>55</v>
      </c>
      <c r="P126" s="14"/>
    </row>
    <row r="127" spans="1:40" x14ac:dyDescent="0.35">
      <c r="C127" s="32" t="s">
        <v>69</v>
      </c>
      <c r="E127">
        <v>21.24</v>
      </c>
      <c r="F127" t="s">
        <v>55</v>
      </c>
      <c r="I127">
        <v>13.62</v>
      </c>
      <c r="J127" t="s">
        <v>55</v>
      </c>
      <c r="P127" s="14"/>
    </row>
    <row r="128" spans="1:40" x14ac:dyDescent="0.35">
      <c r="C128" s="32" t="s">
        <v>70</v>
      </c>
      <c r="E128">
        <v>4.6100000000000003</v>
      </c>
      <c r="F128" t="s">
        <v>55</v>
      </c>
      <c r="I128">
        <v>4.55</v>
      </c>
      <c r="J128" t="s">
        <v>55</v>
      </c>
      <c r="P128" s="14"/>
    </row>
    <row r="129" spans="16:16" x14ac:dyDescent="0.35">
      <c r="P129" s="14"/>
    </row>
    <row r="130" spans="16:16" x14ac:dyDescent="0.35">
      <c r="P130" s="14"/>
    </row>
    <row r="131" spans="16:16" x14ac:dyDescent="0.35">
      <c r="P131" s="14"/>
    </row>
    <row r="132" spans="16:16" x14ac:dyDescent="0.35">
      <c r="P132" s="14"/>
    </row>
    <row r="133" spans="16:16" x14ac:dyDescent="0.35">
      <c r="P133" s="14"/>
    </row>
    <row r="134" spans="16:16" x14ac:dyDescent="0.35">
      <c r="P134" s="14"/>
    </row>
    <row r="135" spans="16:16" x14ac:dyDescent="0.35">
      <c r="P135" s="14"/>
    </row>
    <row r="136" spans="16:16" x14ac:dyDescent="0.35">
      <c r="P136" s="14"/>
    </row>
    <row r="137" spans="16:16" x14ac:dyDescent="0.35">
      <c r="P137" s="14"/>
    </row>
    <row r="138" spans="16:16" x14ac:dyDescent="0.35">
      <c r="P138" s="14"/>
    </row>
    <row r="139" spans="16:16" x14ac:dyDescent="0.35">
      <c r="P139" s="14"/>
    </row>
    <row r="140" spans="16:16" x14ac:dyDescent="0.35">
      <c r="P140" s="14"/>
    </row>
    <row r="141" spans="16:16" x14ac:dyDescent="0.35">
      <c r="P141" s="14"/>
    </row>
    <row r="142" spans="16:16" x14ac:dyDescent="0.35">
      <c r="P142" s="14"/>
    </row>
    <row r="143" spans="16:16" x14ac:dyDescent="0.35">
      <c r="P143" s="14"/>
    </row>
    <row r="150" spans="1:40" x14ac:dyDescent="0.35">
      <c r="A150" s="107" t="s">
        <v>322</v>
      </c>
      <c r="B150" s="17"/>
      <c r="C150" s="17"/>
      <c r="D150" s="108"/>
      <c r="E150" s="17"/>
      <c r="F150" s="17"/>
      <c r="G150" s="17"/>
      <c r="H150" s="108"/>
      <c r="I150" s="17"/>
      <c r="J150" s="17"/>
      <c r="K150" s="17"/>
      <c r="L150" s="108"/>
      <c r="M150" s="17"/>
      <c r="N150" s="17"/>
      <c r="O150" s="17"/>
      <c r="P150" s="107" t="s">
        <v>302</v>
      </c>
      <c r="Q150" s="17"/>
      <c r="R150" s="17"/>
      <c r="S150" s="17"/>
      <c r="T150" s="17"/>
      <c r="U150" s="17"/>
      <c r="V150" s="17"/>
      <c r="W150" s="17"/>
      <c r="X150" s="108"/>
      <c r="Y150" s="107" t="s">
        <v>323</v>
      </c>
      <c r="Z150" s="17"/>
      <c r="AA150" s="17"/>
      <c r="AB150" s="17"/>
      <c r="AC150" s="108"/>
      <c r="AD150" s="17"/>
      <c r="AE150" s="17"/>
      <c r="AF150" s="17"/>
      <c r="AG150" s="107" t="s">
        <v>303</v>
      </c>
      <c r="AH150" s="17"/>
      <c r="AI150" s="17"/>
      <c r="AJ150" s="17"/>
      <c r="AK150" s="17"/>
      <c r="AL150" s="17"/>
      <c r="AM150" s="17"/>
      <c r="AN150" s="99"/>
    </row>
    <row r="151" spans="1:40" x14ac:dyDescent="0.35">
      <c r="Q151" s="14"/>
    </row>
    <row r="152" spans="1:40" x14ac:dyDescent="0.35">
      <c r="C152" s="32" t="s">
        <v>54</v>
      </c>
      <c r="E152">
        <v>41.17</v>
      </c>
      <c r="F152" t="s">
        <v>55</v>
      </c>
      <c r="I152">
        <v>52.58</v>
      </c>
      <c r="J152" t="s">
        <v>55</v>
      </c>
      <c r="Q152" s="14"/>
    </row>
    <row r="153" spans="1:40" x14ac:dyDescent="0.35">
      <c r="C153" s="32" t="s">
        <v>56</v>
      </c>
      <c r="E153">
        <v>0</v>
      </c>
      <c r="F153" t="s">
        <v>55</v>
      </c>
      <c r="I153">
        <v>0.91</v>
      </c>
      <c r="J153" t="s">
        <v>55</v>
      </c>
      <c r="Q153" s="14"/>
    </row>
    <row r="154" spans="1:40" x14ac:dyDescent="0.35">
      <c r="C154" s="32" t="s">
        <v>57</v>
      </c>
      <c r="E154">
        <v>58.83</v>
      </c>
      <c r="F154" t="s">
        <v>55</v>
      </c>
      <c r="I154">
        <v>46.51</v>
      </c>
      <c r="J154" t="s">
        <v>55</v>
      </c>
      <c r="Q154" s="14"/>
    </row>
    <row r="155" spans="1:40" x14ac:dyDescent="0.35">
      <c r="C155" s="32" t="s">
        <v>58</v>
      </c>
      <c r="E155">
        <v>0</v>
      </c>
      <c r="F155" t="s">
        <v>55</v>
      </c>
      <c r="I155">
        <v>0</v>
      </c>
      <c r="J155" t="s">
        <v>55</v>
      </c>
      <c r="Q155" s="14"/>
    </row>
    <row r="156" spans="1:40" x14ac:dyDescent="0.35">
      <c r="C156" s="32" t="s">
        <v>59</v>
      </c>
      <c r="E156">
        <v>0</v>
      </c>
      <c r="F156" t="s">
        <v>55</v>
      </c>
      <c r="I156">
        <v>1.53</v>
      </c>
      <c r="J156" t="s">
        <v>55</v>
      </c>
      <c r="Q156" s="14"/>
    </row>
    <row r="157" spans="1:40" x14ac:dyDescent="0.35">
      <c r="C157" s="32" t="s">
        <v>60</v>
      </c>
      <c r="E157">
        <v>16.559999999999999</v>
      </c>
      <c r="F157" t="s">
        <v>55</v>
      </c>
      <c r="I157">
        <v>8.84</v>
      </c>
      <c r="J157" t="s">
        <v>55</v>
      </c>
      <c r="Q157" s="14"/>
    </row>
    <row r="158" spans="1:40" x14ac:dyDescent="0.35">
      <c r="C158" s="32" t="s">
        <v>61</v>
      </c>
      <c r="E158">
        <v>52.05</v>
      </c>
      <c r="F158" t="s">
        <v>55</v>
      </c>
      <c r="I158">
        <v>54.08</v>
      </c>
      <c r="J158" t="s">
        <v>55</v>
      </c>
      <c r="Q158" s="14"/>
    </row>
    <row r="159" spans="1:40" x14ac:dyDescent="0.35">
      <c r="Q159" s="14"/>
    </row>
    <row r="160" spans="1:40" x14ac:dyDescent="0.35">
      <c r="Q160" s="14"/>
    </row>
    <row r="161" spans="17:17" x14ac:dyDescent="0.35">
      <c r="Q161" s="14"/>
    </row>
    <row r="162" spans="17:17" x14ac:dyDescent="0.35">
      <c r="Q162" s="14"/>
    </row>
    <row r="163" spans="17:17" x14ac:dyDescent="0.35">
      <c r="Q163" s="14"/>
    </row>
    <row r="164" spans="17:17" x14ac:dyDescent="0.35">
      <c r="Q164" s="14"/>
    </row>
    <row r="165" spans="17:17" x14ac:dyDescent="0.35">
      <c r="Q165" s="14"/>
    </row>
    <row r="166" spans="17:17" x14ac:dyDescent="0.35">
      <c r="Q166" s="14"/>
    </row>
    <row r="167" spans="17:17" x14ac:dyDescent="0.35">
      <c r="Q167" s="14"/>
    </row>
    <row r="168" spans="17:17" x14ac:dyDescent="0.35">
      <c r="Q168" s="14"/>
    </row>
    <row r="177" spans="1:40" x14ac:dyDescent="0.35">
      <c r="A177" s="107" t="s">
        <v>361</v>
      </c>
      <c r="B177" s="17"/>
      <c r="C177" s="17"/>
      <c r="D177" s="108"/>
      <c r="E177" s="17"/>
      <c r="F177" s="17"/>
      <c r="G177" s="17"/>
      <c r="H177" s="108"/>
      <c r="I177" s="17"/>
      <c r="J177" s="17"/>
      <c r="K177" s="17"/>
      <c r="L177" s="108"/>
      <c r="M177" s="17"/>
      <c r="N177" s="17"/>
      <c r="O177" s="17"/>
      <c r="P177" s="17"/>
      <c r="Q177" s="17"/>
      <c r="R177" s="17"/>
      <c r="S177" s="17"/>
      <c r="T177" s="17"/>
      <c r="U177" s="17"/>
      <c r="V177" s="17"/>
      <c r="W177" s="17"/>
      <c r="X177" s="108"/>
      <c r="Y177" s="17"/>
      <c r="Z177" s="17"/>
      <c r="AA177" s="17"/>
      <c r="AB177" s="17"/>
      <c r="AC177" s="108"/>
      <c r="AD177" s="17"/>
      <c r="AE177" s="17"/>
      <c r="AF177" s="17"/>
      <c r="AG177" s="17"/>
      <c r="AH177" s="17"/>
      <c r="AI177" s="17"/>
      <c r="AJ177" s="17"/>
      <c r="AK177" s="17"/>
      <c r="AL177" s="17"/>
      <c r="AM177" s="17"/>
      <c r="AN177" s="99"/>
    </row>
    <row r="179" spans="1:40" x14ac:dyDescent="0.35">
      <c r="C179" s="32" t="s">
        <v>40</v>
      </c>
      <c r="E179">
        <v>0.61</v>
      </c>
      <c r="I179">
        <v>0.61</v>
      </c>
      <c r="J179"/>
      <c r="M179" t="s">
        <v>79</v>
      </c>
      <c r="N179"/>
    </row>
    <row r="180" spans="1:40" x14ac:dyDescent="0.35">
      <c r="C180" s="32" t="s">
        <v>41</v>
      </c>
      <c r="E180">
        <v>94.9</v>
      </c>
      <c r="F180" t="s">
        <v>42</v>
      </c>
      <c r="I180">
        <v>79.5</v>
      </c>
      <c r="J180" t="s">
        <v>42</v>
      </c>
      <c r="M180" t="s">
        <v>78</v>
      </c>
      <c r="N180"/>
    </row>
    <row r="181" spans="1:40" x14ac:dyDescent="0.35">
      <c r="C181" s="32" t="s">
        <v>43</v>
      </c>
      <c r="E181">
        <v>0.37</v>
      </c>
      <c r="I181">
        <v>0.37</v>
      </c>
      <c r="J181"/>
      <c r="M181" t="s">
        <v>72</v>
      </c>
      <c r="P181" s="9" t="s">
        <v>73</v>
      </c>
      <c r="R181" s="9" t="s">
        <v>74</v>
      </c>
    </row>
    <row r="182" spans="1:40" x14ac:dyDescent="0.35">
      <c r="C182" s="32" t="s">
        <v>44</v>
      </c>
      <c r="E182">
        <v>0.94</v>
      </c>
      <c r="I182">
        <v>0.94</v>
      </c>
      <c r="J182"/>
      <c r="M182" t="s">
        <v>71</v>
      </c>
      <c r="N182"/>
    </row>
    <row r="183" spans="1:40" x14ac:dyDescent="0.35">
      <c r="M183" t="s">
        <v>75</v>
      </c>
      <c r="N183"/>
    </row>
    <row r="184" spans="1:40" x14ac:dyDescent="0.35">
      <c r="M184" t="s">
        <v>76</v>
      </c>
      <c r="N184"/>
    </row>
    <row r="185" spans="1:40" x14ac:dyDescent="0.35">
      <c r="M185" t="s">
        <v>77</v>
      </c>
      <c r="N185"/>
    </row>
    <row r="187" spans="1:40" x14ac:dyDescent="0.35">
      <c r="A187" s="17"/>
      <c r="B187" s="17"/>
      <c r="C187" s="17"/>
      <c r="D187" s="108"/>
      <c r="E187" s="17"/>
      <c r="F187" s="17"/>
      <c r="G187" s="17"/>
      <c r="H187" s="108"/>
      <c r="I187" s="17"/>
      <c r="J187" s="17"/>
      <c r="K187" s="17"/>
      <c r="L187" s="108"/>
      <c r="M187" s="17"/>
      <c r="N187" s="17"/>
      <c r="O187" s="17"/>
      <c r="P187" s="17"/>
      <c r="Q187" s="17"/>
      <c r="R187" s="17"/>
      <c r="S187" s="17"/>
      <c r="T187" s="17"/>
      <c r="U187" s="17"/>
      <c r="V187" s="17"/>
      <c r="W187" s="17"/>
      <c r="X187" s="108"/>
      <c r="Y187" s="17"/>
      <c r="Z187" s="17"/>
      <c r="AA187" s="17"/>
      <c r="AB187" s="17"/>
      <c r="AC187" s="108"/>
      <c r="AD187" s="17"/>
      <c r="AE187" s="17"/>
      <c r="AF187" s="17"/>
      <c r="AG187" s="17"/>
      <c r="AH187" s="17"/>
      <c r="AI187" s="17"/>
      <c r="AJ187" s="17"/>
      <c r="AK187" s="17"/>
      <c r="AL187" s="17"/>
      <c r="AM187" s="17"/>
      <c r="AN187" s="99"/>
    </row>
  </sheetData>
  <sheetProtection algorithmName="SHA-512" hashValue="tVEdVmTjjEDgj80U4dWOOC+p3IB4WS80loNO0sHZwJhNZYQUTiCvOLNIT4uU6KPOxFu+kfkBn2BnxZZchwmCfg==" saltValue="fyVpgaIEBjKoADdFeZQKvg==" spinCount="100000" sheet="1" objects="1" scenarios="1"/>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9A7733-7B11-463B-8D65-DA28DB26B264}">
  <dimension ref="A1:S22"/>
  <sheetViews>
    <sheetView topLeftCell="A24" zoomScale="108" zoomScaleNormal="130" workbookViewId="0">
      <selection activeCell="J23" sqref="J23"/>
    </sheetView>
  </sheetViews>
  <sheetFormatPr defaultRowHeight="14.5" x14ac:dyDescent="0.35"/>
  <sheetData>
    <row r="1" spans="1:19" ht="19" thickBot="1" x14ac:dyDescent="0.5">
      <c r="A1" s="70"/>
      <c r="B1" s="34"/>
      <c r="C1" s="34"/>
      <c r="D1" s="34"/>
      <c r="E1" s="34"/>
      <c r="F1" s="34"/>
      <c r="G1" s="34"/>
      <c r="H1" s="162"/>
      <c r="I1" s="162" t="s">
        <v>342</v>
      </c>
      <c r="J1" s="162"/>
      <c r="K1" s="162"/>
      <c r="L1" s="162"/>
      <c r="M1" s="162"/>
      <c r="N1" s="162"/>
      <c r="O1" s="34"/>
      <c r="P1" s="35"/>
      <c r="Q1" s="98" t="s">
        <v>344</v>
      </c>
      <c r="R1" s="9"/>
      <c r="S1" s="9"/>
    </row>
    <row r="2" spans="1:19" ht="21.5" thickBot="1" x14ac:dyDescent="0.55000000000000004">
      <c r="A2" s="71"/>
      <c r="B2" s="132" t="s">
        <v>363</v>
      </c>
      <c r="H2" s="31"/>
      <c r="I2" s="31"/>
      <c r="J2" s="31"/>
      <c r="K2" s="31" t="s">
        <v>337</v>
      </c>
      <c r="L2" s="31"/>
      <c r="M2" s="31"/>
      <c r="N2" s="31"/>
      <c r="P2" s="33"/>
      <c r="Q2" s="119"/>
      <c r="S2" s="25" t="s">
        <v>237</v>
      </c>
    </row>
    <row r="3" spans="1:19" ht="21.5" thickBot="1" x14ac:dyDescent="0.55000000000000004">
      <c r="A3" s="71"/>
      <c r="C3" s="132" t="s">
        <v>364</v>
      </c>
      <c r="H3" s="31"/>
      <c r="I3" s="31" t="s">
        <v>338</v>
      </c>
      <c r="J3" s="31"/>
      <c r="K3" s="31" t="s">
        <v>282</v>
      </c>
      <c r="L3" s="31"/>
      <c r="M3" s="31" t="s">
        <v>339</v>
      </c>
      <c r="N3" s="31"/>
      <c r="P3" s="33"/>
      <c r="Q3" s="26"/>
      <c r="S3" s="25" t="s">
        <v>238</v>
      </c>
    </row>
    <row r="4" spans="1:19" ht="15.5" thickTop="1" thickBot="1" x14ac:dyDescent="0.4">
      <c r="A4" s="71"/>
      <c r="H4" s="31"/>
      <c r="I4" s="97">
        <f>'2 References'!kmgD</f>
        <v>0.57684703194535891</v>
      </c>
      <c r="J4" s="31"/>
      <c r="K4" s="82">
        <f>Qgr</f>
        <v>1.278992336554458</v>
      </c>
      <c r="L4" s="31"/>
      <c r="M4" s="97">
        <f>'2 References'!kmg</f>
        <v>0.70069297291105892</v>
      </c>
      <c r="N4" s="31"/>
      <c r="P4" s="33"/>
      <c r="Q4" s="120"/>
      <c r="R4" s="28"/>
      <c r="S4" s="25" t="s">
        <v>236</v>
      </c>
    </row>
    <row r="5" spans="1:19" ht="15" thickTop="1" x14ac:dyDescent="0.35">
      <c r="A5" s="41"/>
      <c r="B5" s="42"/>
      <c r="C5" s="42"/>
      <c r="D5" s="42"/>
      <c r="E5" s="42"/>
      <c r="F5" s="42"/>
      <c r="G5" s="42"/>
      <c r="H5" s="141"/>
      <c r="I5" s="141"/>
      <c r="J5" s="141"/>
      <c r="K5" s="141" t="s">
        <v>65</v>
      </c>
      <c r="L5" s="141"/>
      <c r="M5" s="141"/>
      <c r="N5" s="141"/>
      <c r="O5" s="42"/>
      <c r="P5" s="43"/>
      <c r="Q5" s="29"/>
      <c r="R5" s="30"/>
      <c r="S5" s="25" t="s">
        <v>252</v>
      </c>
    </row>
    <row r="6" spans="1:19" ht="21" x14ac:dyDescent="0.5">
      <c r="A6" s="70"/>
      <c r="B6" s="163" t="s">
        <v>365</v>
      </c>
      <c r="C6" s="34"/>
      <c r="D6" s="34"/>
      <c r="E6" s="34"/>
      <c r="F6" s="34"/>
      <c r="G6" s="34"/>
      <c r="H6" s="34"/>
      <c r="I6" s="34"/>
      <c r="J6" s="34"/>
      <c r="K6" s="34"/>
      <c r="L6" s="34"/>
      <c r="M6" s="34"/>
      <c r="N6" s="34"/>
      <c r="O6" s="34"/>
      <c r="P6" s="35"/>
      <c r="Q6" s="31"/>
      <c r="S6" s="25" t="s">
        <v>239</v>
      </c>
    </row>
    <row r="7" spans="1:19" ht="21" x14ac:dyDescent="0.5">
      <c r="A7" s="71"/>
      <c r="C7" s="132" t="s">
        <v>367</v>
      </c>
      <c r="P7" s="33"/>
    </row>
    <row r="8" spans="1:19" ht="21" x14ac:dyDescent="0.5">
      <c r="A8" s="71"/>
      <c r="C8" s="132" t="s">
        <v>366</v>
      </c>
      <c r="I8" s="23" t="s">
        <v>92</v>
      </c>
      <c r="M8" s="23" t="s">
        <v>234</v>
      </c>
      <c r="P8" s="33"/>
    </row>
    <row r="9" spans="1:19" x14ac:dyDescent="0.35">
      <c r="A9" s="71"/>
      <c r="G9" s="23" t="s">
        <v>250</v>
      </c>
      <c r="I9" s="23" t="s">
        <v>251</v>
      </c>
      <c r="M9" s="23" t="s">
        <v>249</v>
      </c>
      <c r="P9" s="33"/>
    </row>
    <row r="10" spans="1:19" ht="15" thickBot="1" x14ac:dyDescent="0.4">
      <c r="A10" s="71"/>
      <c r="G10" s="23"/>
      <c r="I10" t="s">
        <v>271</v>
      </c>
      <c r="M10" t="s">
        <v>272</v>
      </c>
      <c r="P10" s="33"/>
    </row>
    <row r="11" spans="1:19" ht="15" thickBot="1" x14ac:dyDescent="0.4">
      <c r="A11" s="71"/>
      <c r="I11" s="4">
        <f>K4*I4</f>
        <v>0.73778293322229871</v>
      </c>
      <c r="J11" t="s">
        <v>65</v>
      </c>
      <c r="M11" s="4">
        <f>K4*M4</f>
        <v>0.89618094263080483</v>
      </c>
      <c r="N11" t="s">
        <v>65</v>
      </c>
      <c r="P11" s="33"/>
    </row>
    <row r="12" spans="1:19" x14ac:dyDescent="0.35">
      <c r="A12" s="71"/>
      <c r="I12" s="150"/>
      <c r="M12" s="150"/>
      <c r="P12" s="33"/>
    </row>
    <row r="13" spans="1:19" x14ac:dyDescent="0.35">
      <c r="A13" s="41"/>
      <c r="B13" s="42"/>
      <c r="C13" s="42"/>
      <c r="D13" s="42"/>
      <c r="E13" s="42"/>
      <c r="F13" s="42"/>
      <c r="G13" s="42"/>
      <c r="H13" s="42"/>
      <c r="I13" s="158"/>
      <c r="J13" s="42"/>
      <c r="K13" s="42"/>
      <c r="L13" s="42"/>
      <c r="M13" s="158"/>
      <c r="N13" s="42"/>
      <c r="O13" s="42"/>
      <c r="P13" s="43"/>
    </row>
    <row r="14" spans="1:19" ht="21" x14ac:dyDescent="0.5">
      <c r="A14" s="70"/>
      <c r="B14" s="163" t="s">
        <v>362</v>
      </c>
      <c r="C14" s="34"/>
      <c r="D14" s="34"/>
      <c r="E14" s="34"/>
      <c r="F14" s="34"/>
      <c r="G14" s="34"/>
      <c r="H14" s="34"/>
      <c r="I14" s="34"/>
      <c r="J14" s="34"/>
      <c r="K14" s="111" t="s">
        <v>368</v>
      </c>
      <c r="L14" s="34"/>
      <c r="M14" s="34"/>
      <c r="N14" s="34"/>
      <c r="O14" s="34"/>
      <c r="P14" s="35"/>
    </row>
    <row r="15" spans="1:19" x14ac:dyDescent="0.35">
      <c r="A15" s="71"/>
      <c r="I15" s="23" t="s">
        <v>255</v>
      </c>
      <c r="P15" s="33"/>
    </row>
    <row r="16" spans="1:19" ht="15" thickBot="1" x14ac:dyDescent="0.4">
      <c r="A16" s="71"/>
      <c r="F16" t="s">
        <v>274</v>
      </c>
      <c r="H16" t="s">
        <v>273</v>
      </c>
      <c r="I16" t="s">
        <v>280</v>
      </c>
      <c r="L16" t="s">
        <v>278</v>
      </c>
      <c r="M16" t="s">
        <v>281</v>
      </c>
      <c r="P16" s="33"/>
    </row>
    <row r="17" spans="1:16" x14ac:dyDescent="0.35">
      <c r="A17" s="71"/>
      <c r="E17" t="s">
        <v>244</v>
      </c>
      <c r="F17" s="62">
        <v>0.95</v>
      </c>
      <c r="H17" s="160">
        <f>INDEX('2 References'!QpercentD,MATCH(expercent,'2 References'!expercentK,0))</f>
        <v>5.529454282616552E-2</v>
      </c>
      <c r="I17" s="161">
        <f>(Qgr/Gross_mean_flowD)*Q95D</f>
        <v>4.0795369997474414E-2</v>
      </c>
      <c r="J17" t="s">
        <v>65</v>
      </c>
      <c r="L17" s="160">
        <f>INDEX('2 References'!QpercentK,MATCH(expercent,'2 References'!expercentK,0))</f>
        <v>5.0596658711217185E-2</v>
      </c>
      <c r="M17" s="161">
        <f>(Qgr/Gross_mean_flowK)*Q95K</f>
        <v>4.5343761297787735E-2</v>
      </c>
      <c r="N17" t="s">
        <v>65</v>
      </c>
      <c r="P17" s="33"/>
    </row>
    <row r="18" spans="1:16" x14ac:dyDescent="0.35">
      <c r="A18" s="71"/>
      <c r="E18" t="s">
        <v>245</v>
      </c>
      <c r="F18" s="63">
        <v>0.7</v>
      </c>
      <c r="H18" s="160">
        <f>INDEX('2 References'!QpercentD,MATCH(expercent,'2 References'!expercentK,0))</f>
        <v>0.1832309360318034</v>
      </c>
      <c r="I18" s="161">
        <f>(Qgr/Gross_mean_flowD)*Q70D</f>
        <v>0.13518465744261129</v>
      </c>
      <c r="J18" t="s">
        <v>65</v>
      </c>
      <c r="L18" s="160">
        <f>INDEX('2 References'!QpercentK,MATCH(expercent,'2 References'!expercentK,0))</f>
        <v>0.2092283214001591</v>
      </c>
      <c r="M18" s="161">
        <f>(Qgr/Gross_mean_flowK)*Q70K</f>
        <v>0.18750643429745556</v>
      </c>
      <c r="N18" t="s">
        <v>65</v>
      </c>
      <c r="P18" s="33"/>
    </row>
    <row r="19" spans="1:16" x14ac:dyDescent="0.35">
      <c r="A19" s="71"/>
      <c r="E19" t="s">
        <v>246</v>
      </c>
      <c r="F19" s="63">
        <v>0.5</v>
      </c>
      <c r="H19" s="160">
        <f>INDEX('2 References'!QpercentD,MATCH(expercent,'2 References'!expercentK,0))</f>
        <v>0.40404770509577165</v>
      </c>
      <c r="I19" s="161">
        <f>(Qgr/Gross_mean_flowD)*Q50D</f>
        <v>0.29809950102729671</v>
      </c>
      <c r="J19" t="s">
        <v>65</v>
      </c>
      <c r="L19" s="160">
        <f>INDEX('2 References'!QpercentK,MATCH(expercent,'2 References'!expercentK,0))</f>
        <v>0.4143198090692124</v>
      </c>
      <c r="M19" s="161">
        <f>(Qgr/Gross_mean_flowK)*Q50K</f>
        <v>0.37130551704226183</v>
      </c>
      <c r="N19" t="s">
        <v>65</v>
      </c>
      <c r="P19" s="33"/>
    </row>
    <row r="20" spans="1:16" x14ac:dyDescent="0.35">
      <c r="A20" s="71"/>
      <c r="E20" t="s">
        <v>247</v>
      </c>
      <c r="F20" s="63">
        <v>0.1</v>
      </c>
      <c r="H20" s="160">
        <f>INDEX('2 References'!QpercentD,MATCH(expercent,'2 References'!expercentK,0))</f>
        <v>2.6812432237079871</v>
      </c>
      <c r="I20" s="161">
        <f>(Qgr/Gross_mean_flowD)*Q10D</f>
        <v>1.9781754902696906</v>
      </c>
      <c r="J20" t="s">
        <v>65</v>
      </c>
      <c r="L20" s="160">
        <f>INDEX('2 References'!QpercentK,MATCH(expercent,'2 References'!expercentK,0))</f>
        <v>2.5918854415274462</v>
      </c>
      <c r="M20" s="161">
        <f>(Qgr/Gross_mean_flowK)*Q10K</f>
        <v>2.3227983381791262</v>
      </c>
      <c r="N20" t="s">
        <v>65</v>
      </c>
      <c r="P20" s="33"/>
    </row>
    <row r="21" spans="1:16" ht="15" thickBot="1" x14ac:dyDescent="0.4">
      <c r="A21" s="71"/>
      <c r="E21" t="s">
        <v>248</v>
      </c>
      <c r="F21" s="64">
        <v>0.05</v>
      </c>
      <c r="H21" s="160">
        <f>INDEX('2 References'!QpercentD,MATCH(expercent,'2 References'!expercentK,0))</f>
        <v>4.0513191181785331</v>
      </c>
      <c r="I21" s="161">
        <f>(Qgr/Gross_mean_flowD)*Q05D</f>
        <v>2.9889941024293347</v>
      </c>
      <c r="J21" t="s">
        <v>65</v>
      </c>
      <c r="L21" s="160">
        <f>INDEX('2 References'!QpercentK,MATCH(expercent,'2 References'!expercentK,0))</f>
        <v>3.8281622911694506</v>
      </c>
      <c r="M21" s="161">
        <f>(Qgr/Gross_mean_flowK)*Q05K</f>
        <v>3.4307260906439394</v>
      </c>
      <c r="N21" t="s">
        <v>65</v>
      </c>
      <c r="P21" s="33"/>
    </row>
    <row r="22" spans="1:16" x14ac:dyDescent="0.35">
      <c r="A22" s="41"/>
      <c r="B22" s="42"/>
      <c r="C22" s="42"/>
      <c r="D22" s="42"/>
      <c r="E22" s="42"/>
      <c r="F22" s="42"/>
      <c r="G22" s="42"/>
      <c r="H22" s="42"/>
      <c r="I22" s="42"/>
      <c r="J22" s="42"/>
      <c r="K22" s="42"/>
      <c r="L22" s="42"/>
      <c r="M22" s="42"/>
      <c r="N22" s="42"/>
      <c r="O22" s="42"/>
      <c r="P22" s="43"/>
    </row>
  </sheetData>
  <sheetProtection algorithmName="SHA-512" hashValue="Gtr3GbumwIcR37M3NUhalhMo9p8EtBMZ8cLTi7hHKqomvILqGgOD1R6G1/vR5JOpEEX1Y7sAUjTPkYX8AFowmg==" saltValue="BOjbCzCikkylbs79zijJMw==" spinCount="100000" sheet="1" objects="1" scenarios="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B23ACE-59CF-4AE7-B40A-4337EFAE3CD8}">
  <dimension ref="A1:S22"/>
  <sheetViews>
    <sheetView topLeftCell="A11" workbookViewId="0">
      <selection activeCell="G19" sqref="G19"/>
    </sheetView>
  </sheetViews>
  <sheetFormatPr defaultRowHeight="14.5" x14ac:dyDescent="0.35"/>
  <sheetData>
    <row r="1" spans="1:19" ht="19" thickBot="1" x14ac:dyDescent="0.5">
      <c r="A1" s="70"/>
      <c r="B1" s="34"/>
      <c r="C1" s="34"/>
      <c r="D1" s="34"/>
      <c r="E1" s="34"/>
      <c r="F1" s="34"/>
      <c r="G1" s="34"/>
      <c r="H1" s="34"/>
      <c r="I1" s="34"/>
      <c r="J1" s="34"/>
      <c r="K1" s="34"/>
      <c r="L1" s="34"/>
      <c r="M1" s="34"/>
      <c r="N1" s="34"/>
      <c r="O1" s="34"/>
      <c r="P1" s="35"/>
      <c r="Q1" s="98" t="s">
        <v>344</v>
      </c>
      <c r="R1" s="9"/>
      <c r="S1" s="9"/>
    </row>
    <row r="2" spans="1:19" ht="21.5" thickBot="1" x14ac:dyDescent="0.55000000000000004">
      <c r="A2" s="71"/>
      <c r="B2" s="132" t="s">
        <v>369</v>
      </c>
      <c r="P2" s="33"/>
      <c r="Q2" s="119"/>
      <c r="S2" s="25" t="s">
        <v>237</v>
      </c>
    </row>
    <row r="3" spans="1:19" ht="15" thickBot="1" x14ac:dyDescent="0.4">
      <c r="A3" s="71"/>
      <c r="I3" s="23"/>
      <c r="P3" s="33"/>
      <c r="Q3" s="26"/>
      <c r="S3" s="25" t="s">
        <v>238</v>
      </c>
    </row>
    <row r="4" spans="1:19" ht="19" thickBot="1" x14ac:dyDescent="0.5">
      <c r="A4" s="71"/>
      <c r="B4" s="100" t="s">
        <v>370</v>
      </c>
      <c r="K4" s="23" t="s">
        <v>371</v>
      </c>
      <c r="L4" s="23"/>
      <c r="P4" s="33"/>
      <c r="Q4" s="120"/>
      <c r="R4" s="28"/>
      <c r="S4" s="25" t="s">
        <v>236</v>
      </c>
    </row>
    <row r="5" spans="1:19" x14ac:dyDescent="0.35">
      <c r="A5" s="71"/>
      <c r="P5" s="33"/>
      <c r="Q5" s="29"/>
      <c r="R5" s="30"/>
      <c r="S5" s="25" t="s">
        <v>252</v>
      </c>
    </row>
    <row r="6" spans="1:19" ht="15" thickBot="1" x14ac:dyDescent="0.4">
      <c r="A6" s="71"/>
      <c r="F6" t="s">
        <v>283</v>
      </c>
      <c r="G6" t="s">
        <v>284</v>
      </c>
      <c r="I6" s="23" t="s">
        <v>289</v>
      </c>
      <c r="M6" s="23" t="s">
        <v>290</v>
      </c>
      <c r="P6" s="33"/>
      <c r="Q6" s="31"/>
      <c r="S6" s="25" t="s">
        <v>239</v>
      </c>
    </row>
    <row r="7" spans="1:19" ht="15" thickBot="1" x14ac:dyDescent="0.4">
      <c r="A7" s="71"/>
      <c r="F7" s="153">
        <f>MATCH(comppercent,expercent,0)</f>
        <v>1</v>
      </c>
      <c r="G7" s="154">
        <v>0.95</v>
      </c>
      <c r="H7" s="28" t="s">
        <v>244</v>
      </c>
      <c r="I7" s="5">
        <f>'2 Correlate'!I17</f>
        <v>4.0795369997474414E-2</v>
      </c>
      <c r="J7" t="s">
        <v>65</v>
      </c>
      <c r="M7" s="5">
        <f>'2 Correlate'!M17</f>
        <v>4.5343761297787735E-2</v>
      </c>
      <c r="N7" t="s">
        <v>65</v>
      </c>
      <c r="O7" s="9"/>
      <c r="P7" s="16"/>
    </row>
    <row r="8" spans="1:19" x14ac:dyDescent="0.35">
      <c r="A8" s="71"/>
      <c r="F8" s="155"/>
      <c r="G8" s="47"/>
      <c r="I8" s="156"/>
      <c r="M8" s="156"/>
      <c r="P8" s="33"/>
    </row>
    <row r="9" spans="1:19" x14ac:dyDescent="0.35">
      <c r="A9" s="71"/>
      <c r="P9" s="33"/>
    </row>
    <row r="10" spans="1:19" x14ac:dyDescent="0.35">
      <c r="A10" s="41"/>
      <c r="B10" s="42"/>
      <c r="C10" s="42"/>
      <c r="D10" s="42"/>
      <c r="E10" s="42"/>
      <c r="F10" s="42"/>
      <c r="G10" s="42"/>
      <c r="H10" s="42"/>
      <c r="I10" s="42"/>
      <c r="J10" s="42"/>
      <c r="K10" s="42"/>
      <c r="L10" s="42"/>
      <c r="M10" s="42"/>
      <c r="N10" s="42"/>
      <c r="O10" s="42"/>
      <c r="P10" s="43"/>
    </row>
    <row r="11" spans="1:19" ht="18.5" x14ac:dyDescent="0.45">
      <c r="A11" s="70"/>
      <c r="B11" s="133" t="s">
        <v>394</v>
      </c>
      <c r="C11" s="34"/>
      <c r="D11" s="34"/>
      <c r="E11" s="34"/>
      <c r="F11" s="34"/>
      <c r="G11" s="34"/>
      <c r="H11" s="34"/>
      <c r="I11" s="34"/>
      <c r="J11" s="34"/>
      <c r="K11" s="34"/>
      <c r="L11" s="34"/>
      <c r="M11" s="34"/>
      <c r="N11" s="34"/>
      <c r="O11" s="34"/>
      <c r="P11" s="35"/>
    </row>
    <row r="12" spans="1:19" ht="18.5" x14ac:dyDescent="0.45">
      <c r="A12" s="71"/>
      <c r="C12" s="100" t="s">
        <v>372</v>
      </c>
      <c r="P12" s="33"/>
    </row>
    <row r="13" spans="1:19" ht="18.5" x14ac:dyDescent="0.45">
      <c r="A13" s="71"/>
      <c r="C13" s="100" t="s">
        <v>373</v>
      </c>
      <c r="P13" s="33"/>
    </row>
    <row r="14" spans="1:19" x14ac:dyDescent="0.35">
      <c r="A14" s="71"/>
      <c r="I14" s="23" t="s">
        <v>98</v>
      </c>
      <c r="P14" s="33"/>
    </row>
    <row r="15" spans="1:19" ht="15" thickBot="1" x14ac:dyDescent="0.4">
      <c r="A15" s="71"/>
      <c r="F15" t="s">
        <v>285</v>
      </c>
      <c r="G15" t="s">
        <v>286</v>
      </c>
      <c r="H15" s="32" t="s">
        <v>258</v>
      </c>
      <c r="I15" s="23" t="s">
        <v>287</v>
      </c>
      <c r="M15" s="23" t="s">
        <v>288</v>
      </c>
      <c r="P15" s="33"/>
    </row>
    <row r="16" spans="1:19" ht="15" thickBot="1" x14ac:dyDescent="0.4">
      <c r="A16" s="71"/>
      <c r="F16" s="130">
        <f>IFERROR(MATCH(despercent,expercent,0),"")</f>
        <v>3</v>
      </c>
      <c r="G16" s="123">
        <f>'2 Correlate'!F19</f>
        <v>0.5</v>
      </c>
      <c r="H16" s="1" t="str">
        <f>'2 Correlate'!E19</f>
        <v>Q.50</v>
      </c>
      <c r="I16" s="4">
        <f>'2 Correlate'!I19</f>
        <v>0.29809950102729671</v>
      </c>
      <c r="J16" t="s">
        <v>65</v>
      </c>
      <c r="K16" s="151"/>
      <c r="M16" s="4">
        <f>'2 Correlate'!M19</f>
        <v>0.37130551704226183</v>
      </c>
      <c r="N16" t="s">
        <v>65</v>
      </c>
      <c r="O16" s="20"/>
      <c r="P16" s="16"/>
    </row>
    <row r="17" spans="1:16" x14ac:dyDescent="0.35">
      <c r="A17" s="71"/>
      <c r="H17" s="137"/>
      <c r="I17" s="150"/>
      <c r="M17" s="150"/>
      <c r="P17" s="33"/>
    </row>
    <row r="18" spans="1:16" x14ac:dyDescent="0.35">
      <c r="A18" s="41"/>
      <c r="B18" s="42"/>
      <c r="C18" s="42"/>
      <c r="D18" s="42"/>
      <c r="E18" s="42"/>
      <c r="F18" s="42"/>
      <c r="G18" s="157"/>
      <c r="H18" s="42"/>
      <c r="I18" s="158"/>
      <c r="J18" s="42"/>
      <c r="K18" s="159"/>
      <c r="L18" s="42"/>
      <c r="M18" s="158"/>
      <c r="N18" s="42"/>
      <c r="O18" s="159"/>
      <c r="P18" s="43"/>
    </row>
    <row r="19" spans="1:16" x14ac:dyDescent="0.35">
      <c r="A19" s="9"/>
      <c r="B19" s="9"/>
      <c r="C19" s="9"/>
      <c r="D19" s="9"/>
      <c r="E19" s="9"/>
      <c r="F19" s="9"/>
      <c r="G19" s="72"/>
      <c r="H19" s="9"/>
      <c r="I19" s="73"/>
      <c r="K19" s="127"/>
      <c r="L19" s="9"/>
      <c r="M19" s="73"/>
      <c r="O19" s="127"/>
      <c r="P19" s="9"/>
    </row>
    <row r="20" spans="1:16" x14ac:dyDescent="0.35">
      <c r="A20" s="9"/>
      <c r="B20" s="9"/>
      <c r="C20" s="9"/>
      <c r="D20" s="128"/>
      <c r="E20" s="9"/>
      <c r="F20" s="9"/>
      <c r="G20" s="72"/>
      <c r="H20" s="9"/>
      <c r="I20" s="73"/>
      <c r="K20" s="127"/>
      <c r="L20" s="9"/>
      <c r="M20" s="73"/>
      <c r="O20" s="127"/>
      <c r="P20" s="9"/>
    </row>
    <row r="21" spans="1:16" x14ac:dyDescent="0.35">
      <c r="F21" s="9"/>
      <c r="G21" s="9"/>
      <c r="H21" s="9"/>
      <c r="I21" s="9"/>
      <c r="J21" s="9"/>
      <c r="K21" s="9"/>
      <c r="L21" s="9"/>
      <c r="M21" s="9"/>
      <c r="N21" s="9"/>
      <c r="O21" s="9"/>
    </row>
    <row r="22" spans="1:16" x14ac:dyDescent="0.35">
      <c r="F22" s="129"/>
      <c r="G22" s="72"/>
      <c r="H22" s="9"/>
      <c r="I22" s="73"/>
      <c r="K22" s="127"/>
      <c r="L22" s="9"/>
      <c r="M22" s="73"/>
      <c r="O22" s="127"/>
    </row>
  </sheetData>
  <sheetProtection algorithmName="SHA-512" hashValue="+dHbezzS/2McQISw911lehwNZb1N9b5dlgF1CyFLdy1czgKODSmJoUn7o2x1nN5r2FpCRh6PpPrytbqKjC2M7g==" saltValue="BkZHRKT/JaaGAkE2G+xYEw==" spinCount="100000" sheet="1" objects="1" scenarios="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49C640-8B9A-401E-B88C-0B7A4120804E}">
  <dimension ref="A1:S83"/>
  <sheetViews>
    <sheetView tabSelected="1" topLeftCell="A6" zoomScale="85" zoomScaleNormal="85" workbookViewId="0">
      <selection activeCell="H15" sqref="H15"/>
    </sheetView>
  </sheetViews>
  <sheetFormatPr defaultRowHeight="14.5" x14ac:dyDescent="0.35"/>
  <cols>
    <col min="17" max="18" width="8.7265625" customWidth="1"/>
  </cols>
  <sheetData>
    <row r="1" spans="1:19" ht="19" thickBot="1" x14ac:dyDescent="0.5">
      <c r="A1" s="71"/>
      <c r="O1" s="33"/>
      <c r="Q1" s="98" t="s">
        <v>344</v>
      </c>
      <c r="R1" s="9"/>
      <c r="S1" s="9"/>
    </row>
    <row r="2" spans="1:19" ht="19" thickBot="1" x14ac:dyDescent="0.5">
      <c r="A2" s="71"/>
      <c r="B2" s="100" t="s">
        <v>395</v>
      </c>
      <c r="O2" s="33"/>
      <c r="Q2" s="24"/>
      <c r="S2" s="25" t="s">
        <v>237</v>
      </c>
    </row>
    <row r="3" spans="1:19" ht="15" thickBot="1" x14ac:dyDescent="0.4">
      <c r="A3" s="71"/>
      <c r="F3" s="23" t="s">
        <v>261</v>
      </c>
      <c r="O3" s="33"/>
      <c r="Q3" s="26"/>
      <c r="S3" s="25" t="s">
        <v>238</v>
      </c>
    </row>
    <row r="4" spans="1:19" ht="15" thickBot="1" x14ac:dyDescent="0.4">
      <c r="A4" s="71"/>
      <c r="G4" t="s">
        <v>240</v>
      </c>
      <c r="H4" t="s">
        <v>241</v>
      </c>
      <c r="I4" t="s">
        <v>242</v>
      </c>
      <c r="K4" t="s">
        <v>240</v>
      </c>
      <c r="L4" t="s">
        <v>241</v>
      </c>
      <c r="M4" t="s">
        <v>242</v>
      </c>
      <c r="O4" s="33"/>
      <c r="Q4" s="27"/>
      <c r="R4" s="28"/>
      <c r="S4" s="25" t="s">
        <v>236</v>
      </c>
    </row>
    <row r="5" spans="1:19" ht="15.5" thickTop="1" thickBot="1" x14ac:dyDescent="0.4">
      <c r="A5" s="71"/>
      <c r="C5" s="32" t="s">
        <v>99</v>
      </c>
      <c r="D5" t="s">
        <v>93</v>
      </c>
      <c r="E5" t="s">
        <v>100</v>
      </c>
      <c r="F5" s="79"/>
      <c r="G5" s="79">
        <v>20</v>
      </c>
      <c r="H5" s="79">
        <v>30</v>
      </c>
      <c r="I5" s="79">
        <v>40</v>
      </c>
      <c r="J5" s="79"/>
      <c r="K5" s="79">
        <v>20</v>
      </c>
      <c r="L5" s="79">
        <v>30</v>
      </c>
      <c r="M5" s="79">
        <v>40</v>
      </c>
      <c r="O5" s="33"/>
      <c r="Q5" s="29"/>
      <c r="R5" s="30"/>
      <c r="S5" s="25" t="s">
        <v>252</v>
      </c>
    </row>
    <row r="6" spans="1:19" ht="15" thickTop="1" x14ac:dyDescent="0.35">
      <c r="A6" s="71" t="s">
        <v>291</v>
      </c>
      <c r="C6" s="32" t="s">
        <v>101</v>
      </c>
      <c r="D6" t="s">
        <v>65</v>
      </c>
      <c r="E6" t="s">
        <v>102</v>
      </c>
      <c r="F6" s="76"/>
      <c r="G6" s="76">
        <f>QdesD</f>
        <v>0.29809950102729671</v>
      </c>
      <c r="H6" s="76">
        <f>QdesD</f>
        <v>0.29809950102729671</v>
      </c>
      <c r="I6" s="76">
        <f>QdesD</f>
        <v>0.29809950102729671</v>
      </c>
      <c r="J6" s="77"/>
      <c r="K6" s="77">
        <f>Qdes</f>
        <v>0.37130551704226183</v>
      </c>
      <c r="L6" s="77">
        <f>Qdes</f>
        <v>0.37130551704226183</v>
      </c>
      <c r="M6" s="78">
        <f>Qdes</f>
        <v>0.37130551704226183</v>
      </c>
      <c r="O6" s="33"/>
      <c r="Q6" s="31"/>
      <c r="S6" s="25" t="s">
        <v>239</v>
      </c>
    </row>
    <row r="7" spans="1:19" x14ac:dyDescent="0.35">
      <c r="A7" s="71"/>
      <c r="C7" s="32"/>
      <c r="F7" s="173"/>
      <c r="G7" s="173"/>
      <c r="H7" s="173"/>
      <c r="I7" s="173"/>
      <c r="J7" s="174"/>
      <c r="K7" s="174"/>
      <c r="L7" s="174"/>
      <c r="M7" s="174"/>
      <c r="O7" s="33"/>
    </row>
    <row r="8" spans="1:19" ht="18.5" x14ac:dyDescent="0.45">
      <c r="A8" s="71"/>
      <c r="B8" s="100" t="s">
        <v>396</v>
      </c>
      <c r="C8" s="32"/>
      <c r="F8" s="131"/>
      <c r="G8" s="131"/>
      <c r="H8" s="131"/>
      <c r="I8" s="131"/>
      <c r="J8" s="175"/>
      <c r="K8" s="175"/>
      <c r="L8" s="175"/>
      <c r="M8" s="175"/>
      <c r="O8" s="33"/>
    </row>
    <row r="9" spans="1:19" x14ac:dyDescent="0.35">
      <c r="A9" s="71"/>
      <c r="C9" s="32" t="s">
        <v>94</v>
      </c>
      <c r="D9" t="s">
        <v>177</v>
      </c>
      <c r="E9" t="s">
        <v>260</v>
      </c>
      <c r="F9" s="74"/>
      <c r="G9" s="74">
        <f>(rho*g*G5*G6)/1000</f>
        <v>58.352297659230985</v>
      </c>
      <c r="H9" s="74">
        <f>(rho*g*H5*H6)/1000</f>
        <v>87.528446488846484</v>
      </c>
      <c r="I9" s="74">
        <f>(rho*g*I5*I6)/1000</f>
        <v>116.70459531846197</v>
      </c>
      <c r="J9" s="74"/>
      <c r="K9" s="74">
        <f>(rho*g*K5*K6)/1000</f>
        <v>72.682208384443911</v>
      </c>
      <c r="L9" s="74">
        <f>(rho*g*L5*L6)/1000</f>
        <v>109.02331257666584</v>
      </c>
      <c r="M9" s="75">
        <f>(rho*g*M5*M6)/1000</f>
        <v>145.36441676888782</v>
      </c>
      <c r="O9" s="33"/>
    </row>
    <row r="10" spans="1:19" x14ac:dyDescent="0.35">
      <c r="A10" s="71"/>
      <c r="O10" s="33"/>
    </row>
    <row r="11" spans="1:19" x14ac:dyDescent="0.35">
      <c r="A11" s="70"/>
      <c r="B11" s="34"/>
      <c r="C11" s="34"/>
      <c r="D11" s="34"/>
      <c r="E11" s="34"/>
      <c r="F11" s="34"/>
      <c r="G11" s="34"/>
      <c r="H11" s="34"/>
      <c r="I11" s="34"/>
      <c r="J11" s="34"/>
      <c r="K11" s="34"/>
      <c r="L11" s="34"/>
      <c r="M11" s="34"/>
      <c r="N11" s="34"/>
      <c r="O11" s="35"/>
    </row>
    <row r="12" spans="1:19" ht="18.5" x14ac:dyDescent="0.45">
      <c r="A12" s="71"/>
      <c r="B12" s="100" t="s">
        <v>397</v>
      </c>
      <c r="O12" s="33"/>
    </row>
    <row r="13" spans="1:19" ht="15" thickBot="1" x14ac:dyDescent="0.4">
      <c r="A13" s="71"/>
      <c r="G13" t="s">
        <v>240</v>
      </c>
      <c r="H13" t="s">
        <v>241</v>
      </c>
      <c r="I13" t="s">
        <v>242</v>
      </c>
      <c r="K13" t="s">
        <v>240</v>
      </c>
      <c r="L13" t="s">
        <v>241</v>
      </c>
      <c r="M13" t="s">
        <v>242</v>
      </c>
      <c r="O13" s="33"/>
    </row>
    <row r="14" spans="1:19" ht="15" thickBot="1" x14ac:dyDescent="0.4">
      <c r="A14" s="71"/>
      <c r="C14" s="32" t="s">
        <v>265</v>
      </c>
      <c r="D14" t="s">
        <v>93</v>
      </c>
      <c r="E14" t="s">
        <v>243</v>
      </c>
      <c r="F14" s="27">
        <v>500</v>
      </c>
      <c r="G14" s="27">
        <v>397.6</v>
      </c>
      <c r="H14" s="27">
        <v>621.4</v>
      </c>
      <c r="I14" s="27">
        <v>667.4</v>
      </c>
      <c r="J14" s="27">
        <v>500</v>
      </c>
      <c r="K14" s="27">
        <v>397.6</v>
      </c>
      <c r="L14" s="27">
        <v>621.4</v>
      </c>
      <c r="M14" s="27">
        <v>667.4</v>
      </c>
      <c r="O14" s="33"/>
    </row>
    <row r="15" spans="1:19" ht="15" thickBot="1" x14ac:dyDescent="0.4">
      <c r="A15" s="71"/>
      <c r="C15" s="38" t="s">
        <v>264</v>
      </c>
      <c r="D15" t="s">
        <v>93</v>
      </c>
      <c r="E15" s="33" t="s">
        <v>256</v>
      </c>
      <c r="F15" s="27">
        <v>77</v>
      </c>
      <c r="G15" s="27">
        <v>60.6</v>
      </c>
      <c r="H15" s="27">
        <v>82.8</v>
      </c>
      <c r="I15" s="27">
        <v>215.1</v>
      </c>
      <c r="J15" s="27">
        <v>77</v>
      </c>
      <c r="K15" s="27">
        <v>60.6</v>
      </c>
      <c r="L15" s="27">
        <v>82.8</v>
      </c>
      <c r="M15" s="27">
        <v>215.1</v>
      </c>
      <c r="O15" s="33"/>
    </row>
    <row r="16" spans="1:19" x14ac:dyDescent="0.35">
      <c r="A16" s="71"/>
      <c r="O16" s="33"/>
    </row>
    <row r="17" spans="1:15" ht="15" thickBot="1" x14ac:dyDescent="0.4">
      <c r="A17" s="71"/>
      <c r="O17" s="33"/>
    </row>
    <row r="18" spans="1:15" ht="15" thickBot="1" x14ac:dyDescent="0.4">
      <c r="A18" s="71"/>
      <c r="C18" s="38" t="s">
        <v>107</v>
      </c>
      <c r="E18" t="s">
        <v>108</v>
      </c>
      <c r="F18" s="27">
        <v>2</v>
      </c>
      <c r="G18" s="27">
        <v>2</v>
      </c>
      <c r="H18" s="27">
        <v>2</v>
      </c>
      <c r="I18" s="27">
        <v>3</v>
      </c>
      <c r="J18" s="27">
        <v>2</v>
      </c>
      <c r="K18" s="27">
        <v>2</v>
      </c>
      <c r="L18" s="27">
        <v>2</v>
      </c>
      <c r="M18" s="27">
        <v>3</v>
      </c>
      <c r="O18" s="33"/>
    </row>
    <row r="19" spans="1:15" x14ac:dyDescent="0.35">
      <c r="A19" s="71"/>
      <c r="O19" s="33"/>
    </row>
    <row r="20" spans="1:15" ht="15" thickBot="1" x14ac:dyDescent="0.4">
      <c r="A20" s="71"/>
      <c r="B20" s="23" t="s">
        <v>388</v>
      </c>
      <c r="O20" s="33"/>
    </row>
    <row r="21" spans="1:15" ht="15.5" thickTop="1" thickBot="1" x14ac:dyDescent="0.4">
      <c r="A21" s="71"/>
      <c r="C21" s="32" t="s">
        <v>266</v>
      </c>
      <c r="D21" t="s">
        <v>93</v>
      </c>
      <c r="E21" t="s">
        <v>103</v>
      </c>
      <c r="F21" s="80"/>
      <c r="G21" s="80">
        <f>SQRT(20^2+60.6^2)</f>
        <v>63.81504524796641</v>
      </c>
      <c r="H21" s="80">
        <f>SQRT(30^2+82.8^2)</f>
        <v>88.067247033162104</v>
      </c>
      <c r="I21" s="80">
        <f>SQRT(40^2+215.1^2)</f>
        <v>218.78759105580005</v>
      </c>
      <c r="J21" s="80"/>
      <c r="K21" s="80">
        <f>G21</f>
        <v>63.81504524796641</v>
      </c>
      <c r="L21" s="80">
        <f t="shared" ref="L21:M21" si="0">H21</f>
        <v>88.067247033162104</v>
      </c>
      <c r="M21" s="80">
        <f t="shared" si="0"/>
        <v>218.78759105580005</v>
      </c>
      <c r="O21" s="33"/>
    </row>
    <row r="22" spans="1:15" ht="15" thickTop="1" x14ac:dyDescent="0.35">
      <c r="A22" s="41"/>
      <c r="B22" s="42"/>
      <c r="C22" s="42"/>
      <c r="D22" s="42"/>
      <c r="E22" s="42"/>
      <c r="F22" s="42"/>
      <c r="G22" s="42"/>
      <c r="H22" s="42"/>
      <c r="I22" s="42"/>
      <c r="J22" s="42"/>
      <c r="K22" s="42"/>
      <c r="L22" s="42"/>
      <c r="M22" s="42"/>
      <c r="N22" s="42"/>
      <c r="O22" s="43"/>
    </row>
    <row r="23" spans="1:15" x14ac:dyDescent="0.35">
      <c r="A23" s="70"/>
      <c r="B23" s="34"/>
      <c r="C23" s="34"/>
      <c r="D23" s="34"/>
      <c r="E23" s="34"/>
      <c r="F23" s="34"/>
      <c r="G23" s="34"/>
      <c r="H23" s="34"/>
      <c r="I23" s="34"/>
      <c r="J23" s="34"/>
      <c r="K23" s="34"/>
      <c r="L23" s="34"/>
      <c r="M23" s="34"/>
      <c r="N23" s="34"/>
      <c r="O23" s="35"/>
    </row>
    <row r="24" spans="1:15" ht="18.5" x14ac:dyDescent="0.45">
      <c r="A24" s="71"/>
      <c r="B24" s="100" t="s">
        <v>374</v>
      </c>
      <c r="O24" s="33"/>
    </row>
    <row r="25" spans="1:15" x14ac:dyDescent="0.35">
      <c r="A25" s="71"/>
      <c r="O25" s="33"/>
    </row>
    <row r="26" spans="1:15" x14ac:dyDescent="0.35">
      <c r="A26" s="71"/>
      <c r="O26" s="33"/>
    </row>
    <row r="27" spans="1:15" x14ac:dyDescent="0.35">
      <c r="A27" s="71"/>
      <c r="O27" s="33"/>
    </row>
    <row r="28" spans="1:15" x14ac:dyDescent="0.35">
      <c r="A28" s="71"/>
      <c r="O28" s="33"/>
    </row>
    <row r="29" spans="1:15" x14ac:dyDescent="0.35">
      <c r="A29" s="71"/>
      <c r="O29" s="33"/>
    </row>
    <row r="30" spans="1:15" x14ac:dyDescent="0.35">
      <c r="A30" s="71"/>
      <c r="O30" s="33"/>
    </row>
    <row r="31" spans="1:15" x14ac:dyDescent="0.35">
      <c r="A31" s="71"/>
      <c r="O31" s="33"/>
    </row>
    <row r="32" spans="1:15" x14ac:dyDescent="0.35">
      <c r="A32" s="71"/>
      <c r="O32" s="33"/>
    </row>
    <row r="33" spans="1:15" x14ac:dyDescent="0.35">
      <c r="A33" s="71"/>
      <c r="O33" s="33"/>
    </row>
    <row r="34" spans="1:15" x14ac:dyDescent="0.35">
      <c r="A34" s="71"/>
      <c r="O34" s="33"/>
    </row>
    <row r="35" spans="1:15" x14ac:dyDescent="0.35">
      <c r="A35" s="71"/>
      <c r="O35" s="33"/>
    </row>
    <row r="36" spans="1:15" x14ac:dyDescent="0.35">
      <c r="A36" s="71"/>
      <c r="O36" s="33"/>
    </row>
    <row r="37" spans="1:15" x14ac:dyDescent="0.35">
      <c r="A37" s="71"/>
      <c r="O37" s="33"/>
    </row>
    <row r="38" spans="1:15" x14ac:dyDescent="0.35">
      <c r="A38" s="71"/>
      <c r="O38" s="33"/>
    </row>
    <row r="39" spans="1:15" x14ac:dyDescent="0.35">
      <c r="A39" s="71"/>
      <c r="O39" s="33"/>
    </row>
    <row r="40" spans="1:15" x14ac:dyDescent="0.35">
      <c r="A40" s="71"/>
      <c r="O40" s="33"/>
    </row>
    <row r="41" spans="1:15" x14ac:dyDescent="0.35">
      <c r="A41" s="71"/>
      <c r="O41" s="33"/>
    </row>
    <row r="42" spans="1:15" x14ac:dyDescent="0.35">
      <c r="A42" s="71"/>
      <c r="O42" s="33"/>
    </row>
    <row r="43" spans="1:15" x14ac:dyDescent="0.35">
      <c r="A43" s="71"/>
      <c r="O43" s="33"/>
    </row>
    <row r="44" spans="1:15" x14ac:dyDescent="0.35">
      <c r="A44" s="71"/>
      <c r="O44" s="33"/>
    </row>
    <row r="45" spans="1:15" x14ac:dyDescent="0.35">
      <c r="A45" s="71"/>
      <c r="O45" s="33"/>
    </row>
    <row r="46" spans="1:15" x14ac:dyDescent="0.35">
      <c r="A46" s="71"/>
      <c r="O46" s="33"/>
    </row>
    <row r="47" spans="1:15" x14ac:dyDescent="0.35">
      <c r="A47" s="71"/>
      <c r="O47" s="33"/>
    </row>
    <row r="48" spans="1:15" x14ac:dyDescent="0.35">
      <c r="A48" s="71"/>
      <c r="O48" s="33"/>
    </row>
    <row r="49" spans="1:15" x14ac:dyDescent="0.35">
      <c r="A49" s="71"/>
      <c r="O49" s="33"/>
    </row>
    <row r="50" spans="1:15" x14ac:dyDescent="0.35">
      <c r="A50" s="71"/>
      <c r="O50" s="33"/>
    </row>
    <row r="51" spans="1:15" x14ac:dyDescent="0.35">
      <c r="A51" s="71"/>
      <c r="O51" s="33"/>
    </row>
    <row r="52" spans="1:15" x14ac:dyDescent="0.35">
      <c r="A52" s="71"/>
      <c r="O52" s="33"/>
    </row>
    <row r="53" spans="1:15" x14ac:dyDescent="0.35">
      <c r="A53" s="71"/>
      <c r="O53" s="33"/>
    </row>
    <row r="54" spans="1:15" x14ac:dyDescent="0.35">
      <c r="A54" s="71"/>
      <c r="O54" s="33"/>
    </row>
    <row r="55" spans="1:15" x14ac:dyDescent="0.35">
      <c r="A55" s="71"/>
      <c r="O55" s="33"/>
    </row>
    <row r="56" spans="1:15" x14ac:dyDescent="0.35">
      <c r="A56" s="71"/>
      <c r="O56" s="33"/>
    </row>
    <row r="57" spans="1:15" x14ac:dyDescent="0.35">
      <c r="A57" s="71"/>
      <c r="O57" s="33"/>
    </row>
    <row r="58" spans="1:15" x14ac:dyDescent="0.35">
      <c r="A58" s="71"/>
      <c r="O58" s="33"/>
    </row>
    <row r="59" spans="1:15" x14ac:dyDescent="0.35">
      <c r="A59" s="71"/>
      <c r="O59" s="33"/>
    </row>
    <row r="60" spans="1:15" x14ac:dyDescent="0.35">
      <c r="A60" s="71"/>
      <c r="O60" s="33"/>
    </row>
    <row r="61" spans="1:15" x14ac:dyDescent="0.35">
      <c r="A61" s="71"/>
      <c r="O61" s="33"/>
    </row>
    <row r="62" spans="1:15" x14ac:dyDescent="0.35">
      <c r="A62" s="71"/>
      <c r="O62" s="33"/>
    </row>
    <row r="63" spans="1:15" x14ac:dyDescent="0.35">
      <c r="A63" s="71"/>
      <c r="O63" s="33"/>
    </row>
    <row r="64" spans="1:15" x14ac:dyDescent="0.35">
      <c r="A64" s="71"/>
      <c r="O64" s="33"/>
    </row>
    <row r="65" spans="1:15" x14ac:dyDescent="0.35">
      <c r="A65" s="71"/>
      <c r="O65" s="33"/>
    </row>
    <row r="66" spans="1:15" x14ac:dyDescent="0.35">
      <c r="A66" s="71"/>
      <c r="O66" s="33"/>
    </row>
    <row r="67" spans="1:15" x14ac:dyDescent="0.35">
      <c r="A67" s="71"/>
      <c r="O67" s="33"/>
    </row>
    <row r="68" spans="1:15" x14ac:dyDescent="0.35">
      <c r="A68" s="71"/>
      <c r="O68" s="33"/>
    </row>
    <row r="69" spans="1:15" x14ac:dyDescent="0.35">
      <c r="A69" s="71"/>
      <c r="O69" s="33"/>
    </row>
    <row r="70" spans="1:15" x14ac:dyDescent="0.35">
      <c r="A70" s="71"/>
      <c r="O70" s="33"/>
    </row>
    <row r="71" spans="1:15" x14ac:dyDescent="0.35">
      <c r="A71" s="71"/>
      <c r="O71" s="33"/>
    </row>
    <row r="72" spans="1:15" x14ac:dyDescent="0.35">
      <c r="A72" s="71"/>
      <c r="O72" s="33"/>
    </row>
    <row r="73" spans="1:15" x14ac:dyDescent="0.35">
      <c r="A73" s="71"/>
      <c r="O73" s="33"/>
    </row>
    <row r="74" spans="1:15" x14ac:dyDescent="0.35">
      <c r="A74" s="71"/>
      <c r="O74" s="33"/>
    </row>
    <row r="75" spans="1:15" x14ac:dyDescent="0.35">
      <c r="A75" s="71"/>
      <c r="O75" s="33"/>
    </row>
    <row r="76" spans="1:15" x14ac:dyDescent="0.35">
      <c r="A76" s="71"/>
      <c r="O76" s="33"/>
    </row>
    <row r="77" spans="1:15" x14ac:dyDescent="0.35">
      <c r="A77" s="71"/>
      <c r="O77" s="33"/>
    </row>
    <row r="78" spans="1:15" x14ac:dyDescent="0.35">
      <c r="A78" s="71"/>
      <c r="O78" s="33"/>
    </row>
    <row r="79" spans="1:15" x14ac:dyDescent="0.35">
      <c r="A79" s="71"/>
      <c r="O79" s="33"/>
    </row>
    <row r="80" spans="1:15" x14ac:dyDescent="0.35">
      <c r="A80" s="71"/>
      <c r="O80" s="33"/>
    </row>
    <row r="81" spans="1:15" x14ac:dyDescent="0.35">
      <c r="A81" s="71"/>
      <c r="O81" s="33"/>
    </row>
    <row r="82" spans="1:15" x14ac:dyDescent="0.35">
      <c r="A82" s="71"/>
      <c r="O82" s="33"/>
    </row>
    <row r="83" spans="1:15" x14ac:dyDescent="0.35">
      <c r="A83" s="41"/>
      <c r="B83" s="42"/>
      <c r="C83" s="42"/>
      <c r="D83" s="42"/>
      <c r="E83" s="42"/>
      <c r="F83" s="42"/>
      <c r="G83" s="42"/>
      <c r="H83" s="42"/>
      <c r="I83" s="42"/>
      <c r="J83" s="42"/>
      <c r="K83" s="42"/>
      <c r="L83" s="42"/>
      <c r="M83" s="42"/>
      <c r="N83" s="42"/>
      <c r="O83" s="43"/>
    </row>
  </sheetData>
  <sheetProtection algorithmName="SHA-512" hashValue="ldPnLzHIBkHUubVn2AQs5t4hZW8YRX61SkTg+Ys22mK8+x+i3gRhMMwEfgwgo/l2bb8+w1n4SjESc5ZMRpnXxg==" saltValue="glLqr2cUnIzCKT5N+MFqOQ==" spinCount="100000" sheet="1" objects="1" scenarios="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37CD1F-27F1-4F34-B378-96D482A2073F}">
  <dimension ref="A1:S75"/>
  <sheetViews>
    <sheetView topLeftCell="A60" zoomScale="98" zoomScaleNormal="100" workbookViewId="0">
      <selection activeCell="I24" sqref="I24"/>
    </sheetView>
  </sheetViews>
  <sheetFormatPr defaultRowHeight="14.5" x14ac:dyDescent="0.35"/>
  <cols>
    <col min="9" max="9" width="10.1796875" bestFit="1" customWidth="1"/>
    <col min="12" max="12" width="9.26953125" bestFit="1" customWidth="1"/>
  </cols>
  <sheetData>
    <row r="1" spans="1:19" ht="19" thickBot="1" x14ac:dyDescent="0.5">
      <c r="A1" s="70"/>
      <c r="B1" s="34"/>
      <c r="C1" s="34"/>
      <c r="D1" s="34"/>
      <c r="E1" s="34"/>
      <c r="F1" s="34"/>
      <c r="G1" s="34"/>
      <c r="H1" s="34"/>
      <c r="I1" s="34"/>
      <c r="J1" s="34"/>
      <c r="K1" s="34"/>
      <c r="L1" s="34"/>
      <c r="M1" s="34"/>
      <c r="N1" s="34"/>
      <c r="O1" s="35"/>
      <c r="Q1" s="133" t="s">
        <v>344</v>
      </c>
      <c r="R1" s="34"/>
      <c r="S1" s="34"/>
    </row>
    <row r="2" spans="1:19" ht="21.5" thickBot="1" x14ac:dyDescent="0.55000000000000004">
      <c r="A2" s="71"/>
      <c r="B2" s="132" t="s">
        <v>376</v>
      </c>
      <c r="O2" s="33"/>
      <c r="Q2" s="119"/>
      <c r="S2" s="25" t="s">
        <v>237</v>
      </c>
    </row>
    <row r="3" spans="1:19" ht="15" thickBot="1" x14ac:dyDescent="0.4">
      <c r="A3" s="71"/>
      <c r="O3" s="33"/>
      <c r="Q3" s="26"/>
      <c r="S3" s="25" t="s">
        <v>238</v>
      </c>
    </row>
    <row r="4" spans="1:19" ht="15" thickBot="1" x14ac:dyDescent="0.4">
      <c r="A4" s="71"/>
      <c r="C4" s="31"/>
      <c r="D4" s="31"/>
      <c r="E4" s="31"/>
      <c r="F4" s="31"/>
      <c r="G4" s="31"/>
      <c r="H4" s="31"/>
      <c r="I4" s="31" t="s">
        <v>343</v>
      </c>
      <c r="J4" s="31"/>
      <c r="K4" s="31"/>
      <c r="L4" s="31"/>
      <c r="M4" s="31"/>
      <c r="N4" s="31"/>
      <c r="O4" s="33"/>
      <c r="Q4" s="120"/>
      <c r="R4" s="28"/>
      <c r="S4" s="25" t="s">
        <v>236</v>
      </c>
    </row>
    <row r="5" spans="1:19" ht="15" thickBot="1" x14ac:dyDescent="0.4">
      <c r="A5" s="71"/>
      <c r="C5" s="31"/>
      <c r="D5" s="31"/>
      <c r="E5" s="31"/>
      <c r="F5" s="31"/>
      <c r="G5" s="121"/>
      <c r="H5" s="122" t="s">
        <v>287</v>
      </c>
      <c r="I5" s="31"/>
      <c r="J5" s="31"/>
      <c r="K5" s="31"/>
      <c r="L5" s="122" t="s">
        <v>288</v>
      </c>
      <c r="M5" s="31"/>
      <c r="N5" s="31"/>
      <c r="O5" s="33"/>
      <c r="Q5" s="29"/>
      <c r="R5" s="30"/>
      <c r="S5" s="25" t="s">
        <v>252</v>
      </c>
    </row>
    <row r="6" spans="1:19" ht="15" thickBot="1" x14ac:dyDescent="0.4">
      <c r="A6" s="71"/>
      <c r="C6" s="31" t="s">
        <v>375</v>
      </c>
      <c r="D6" s="31"/>
      <c r="E6" s="31"/>
      <c r="F6" s="123"/>
      <c r="G6" s="1"/>
      <c r="H6" s="4">
        <f>QdesD</f>
        <v>0.29809950102729671</v>
      </c>
      <c r="I6" s="31" t="s">
        <v>65</v>
      </c>
      <c r="J6" s="138"/>
      <c r="K6" s="31"/>
      <c r="L6" s="4">
        <f>Qdes</f>
        <v>0.37130551704226183</v>
      </c>
      <c r="M6" s="31" t="s">
        <v>65</v>
      </c>
      <c r="N6" s="31"/>
      <c r="O6" s="33"/>
      <c r="Q6" s="31"/>
      <c r="S6" s="25" t="s">
        <v>239</v>
      </c>
    </row>
    <row r="7" spans="1:19" x14ac:dyDescent="0.35">
      <c r="A7" s="71"/>
      <c r="C7" s="31"/>
      <c r="D7" s="31"/>
      <c r="E7" s="31"/>
      <c r="F7" s="139"/>
      <c r="G7" s="31"/>
      <c r="H7" s="140"/>
      <c r="I7" s="31"/>
      <c r="J7" s="138"/>
      <c r="K7" s="31"/>
      <c r="L7" s="140"/>
      <c r="M7" s="31"/>
      <c r="N7" s="31"/>
      <c r="O7" s="33"/>
      <c r="S7" s="33"/>
    </row>
    <row r="8" spans="1:19" ht="15" thickBot="1" x14ac:dyDescent="0.4">
      <c r="A8" s="71"/>
      <c r="C8" s="31"/>
      <c r="D8" s="31"/>
      <c r="E8" s="31"/>
      <c r="F8" s="31"/>
      <c r="G8" s="31" t="s">
        <v>240</v>
      </c>
      <c r="H8" s="31" t="s">
        <v>241</v>
      </c>
      <c r="I8" s="31" t="s">
        <v>242</v>
      </c>
      <c r="J8" s="31"/>
      <c r="K8" s="31" t="s">
        <v>240</v>
      </c>
      <c r="L8" s="31" t="s">
        <v>241</v>
      </c>
      <c r="M8" s="31" t="s">
        <v>242</v>
      </c>
      <c r="N8" s="31"/>
      <c r="O8" s="33"/>
      <c r="S8" s="33"/>
    </row>
    <row r="9" spans="1:19" ht="15.5" thickTop="1" thickBot="1" x14ac:dyDescent="0.4">
      <c r="A9" s="71"/>
      <c r="C9" s="121" t="s">
        <v>99</v>
      </c>
      <c r="D9" s="31" t="s">
        <v>93</v>
      </c>
      <c r="E9" s="31" t="s">
        <v>100</v>
      </c>
      <c r="F9" s="79"/>
      <c r="G9" s="79">
        <f>'4 Gross Head'!G5</f>
        <v>20</v>
      </c>
      <c r="H9" s="79">
        <f>'4 Gross Head'!H5</f>
        <v>30</v>
      </c>
      <c r="I9" s="79">
        <f>'4 Gross Head'!I5</f>
        <v>40</v>
      </c>
      <c r="J9" s="79"/>
      <c r="K9" s="79">
        <f>'4 Gross Head'!K5</f>
        <v>20</v>
      </c>
      <c r="L9" s="79">
        <f>'4 Gross Head'!L5</f>
        <v>30</v>
      </c>
      <c r="M9" s="79">
        <f>'4 Gross Head'!M5</f>
        <v>40</v>
      </c>
      <c r="N9" s="31"/>
      <c r="O9" s="33"/>
      <c r="S9" s="33"/>
    </row>
    <row r="10" spans="1:19" ht="15" thickTop="1" x14ac:dyDescent="0.35">
      <c r="A10" s="71"/>
      <c r="C10" s="121" t="s">
        <v>101</v>
      </c>
      <c r="D10" s="31" t="s">
        <v>65</v>
      </c>
      <c r="E10" s="31" t="s">
        <v>102</v>
      </c>
      <c r="F10" s="76"/>
      <c r="G10" s="76">
        <f>'4 Gross Head'!G6</f>
        <v>0.29809950102729671</v>
      </c>
      <c r="H10" s="76">
        <f>'4 Gross Head'!H6</f>
        <v>0.29809950102729671</v>
      </c>
      <c r="I10" s="76">
        <f>'4 Gross Head'!I6</f>
        <v>0.29809950102729671</v>
      </c>
      <c r="J10" s="77"/>
      <c r="K10" s="77">
        <f>'4 Gross Head'!K6</f>
        <v>0.37130551704226183</v>
      </c>
      <c r="L10" s="77">
        <f>'4 Gross Head'!L6</f>
        <v>0.37130551704226183</v>
      </c>
      <c r="M10" s="78">
        <f>'4 Gross Head'!M6</f>
        <v>0.37130551704226183</v>
      </c>
      <c r="N10" s="31"/>
      <c r="O10" s="33"/>
      <c r="S10" s="33"/>
    </row>
    <row r="11" spans="1:19" x14ac:dyDescent="0.35">
      <c r="A11" s="71"/>
      <c r="C11" s="121" t="s">
        <v>94</v>
      </c>
      <c r="D11" s="31" t="s">
        <v>177</v>
      </c>
      <c r="E11" s="31" t="s">
        <v>260</v>
      </c>
      <c r="F11" s="74"/>
      <c r="G11" s="74">
        <f>'4 Gross Head'!G9</f>
        <v>58.352297659230985</v>
      </c>
      <c r="H11" s="74">
        <f>'4 Gross Head'!H9</f>
        <v>87.528446488846484</v>
      </c>
      <c r="I11" s="74">
        <f>'4 Gross Head'!I9</f>
        <v>116.70459531846197</v>
      </c>
      <c r="J11" s="74"/>
      <c r="K11" s="74">
        <f>'4 Gross Head'!K9</f>
        <v>72.682208384443911</v>
      </c>
      <c r="L11" s="74">
        <f>'4 Gross Head'!L9</f>
        <v>109.02331257666584</v>
      </c>
      <c r="M11" s="75">
        <f>'4 Gross Head'!M9</f>
        <v>145.36441676888782</v>
      </c>
      <c r="N11" s="31"/>
      <c r="O11" s="33"/>
      <c r="S11" s="33"/>
    </row>
    <row r="12" spans="1:19" x14ac:dyDescent="0.35">
      <c r="A12" s="71"/>
      <c r="C12" s="121"/>
      <c r="D12" s="31"/>
      <c r="E12" s="31"/>
      <c r="F12" s="177"/>
      <c r="G12" s="177"/>
      <c r="H12" s="177"/>
      <c r="I12" s="177"/>
      <c r="J12" s="177"/>
      <c r="K12" s="177"/>
      <c r="L12" s="177"/>
      <c r="M12" s="177"/>
      <c r="N12" s="31"/>
      <c r="O12" s="33"/>
      <c r="S12" s="33"/>
    </row>
    <row r="13" spans="1:19" x14ac:dyDescent="0.35">
      <c r="A13" s="71"/>
      <c r="C13" s="121"/>
      <c r="D13" s="31"/>
      <c r="E13" s="31"/>
      <c r="F13" s="142"/>
      <c r="G13" s="142"/>
      <c r="H13" s="142"/>
      <c r="I13" s="142"/>
      <c r="J13" s="142"/>
      <c r="K13" s="142"/>
      <c r="L13" s="142"/>
      <c r="M13" s="142"/>
      <c r="N13" s="31"/>
      <c r="O13" s="33"/>
      <c r="S13" s="33"/>
    </row>
    <row r="14" spans="1:19" x14ac:dyDescent="0.35">
      <c r="A14" s="71"/>
      <c r="C14" s="121" t="s">
        <v>266</v>
      </c>
      <c r="D14" s="31" t="s">
        <v>93</v>
      </c>
      <c r="E14" s="31" t="s">
        <v>103</v>
      </c>
      <c r="F14" s="176"/>
      <c r="G14" s="74">
        <f>'4 Gross Head'!G21</f>
        <v>63.81504524796641</v>
      </c>
      <c r="H14" s="74">
        <f>'4 Gross Head'!H21</f>
        <v>88.067247033162104</v>
      </c>
      <c r="I14" s="74">
        <f>'4 Gross Head'!I21</f>
        <v>218.78759105580005</v>
      </c>
      <c r="J14" s="74"/>
      <c r="K14" s="74">
        <f>'4 Gross Head'!K21</f>
        <v>63.81504524796641</v>
      </c>
      <c r="L14" s="74">
        <f>'4 Gross Head'!L21</f>
        <v>88.067247033162104</v>
      </c>
      <c r="M14" s="75">
        <f>'4 Gross Head'!M21</f>
        <v>218.78759105580005</v>
      </c>
      <c r="N14" s="31"/>
      <c r="O14" s="33"/>
      <c r="S14" s="33"/>
    </row>
    <row r="15" spans="1:19" x14ac:dyDescent="0.35">
      <c r="A15" s="41"/>
      <c r="B15" s="42"/>
      <c r="C15" s="141"/>
      <c r="D15" s="141"/>
      <c r="E15" s="141"/>
      <c r="F15" s="142"/>
      <c r="G15" s="142"/>
      <c r="H15" s="142"/>
      <c r="I15" s="142"/>
      <c r="J15" s="142"/>
      <c r="K15" s="142"/>
      <c r="L15" s="142"/>
      <c r="M15" s="142"/>
      <c r="N15" s="141"/>
      <c r="O15" s="43"/>
      <c r="P15" s="42"/>
      <c r="Q15" s="42"/>
      <c r="R15" s="42"/>
      <c r="S15" s="43"/>
    </row>
    <row r="16" spans="1:19" x14ac:dyDescent="0.35">
      <c r="A16" s="70"/>
      <c r="B16" s="34"/>
      <c r="C16" s="143"/>
      <c r="D16" s="34"/>
      <c r="E16" s="34"/>
      <c r="F16" s="34"/>
      <c r="G16" s="34"/>
      <c r="H16" s="34"/>
      <c r="I16" s="34"/>
      <c r="J16" s="34"/>
      <c r="K16" s="34"/>
      <c r="L16" s="34"/>
      <c r="M16" s="34"/>
      <c r="N16" s="34"/>
      <c r="O16" s="34"/>
      <c r="P16" s="34"/>
      <c r="Q16" s="34"/>
      <c r="R16" s="34"/>
      <c r="S16" s="35"/>
    </row>
    <row r="17" spans="1:19" ht="19" thickBot="1" x14ac:dyDescent="0.5">
      <c r="A17" s="71"/>
      <c r="B17" s="100" t="s">
        <v>377</v>
      </c>
      <c r="F17" s="23" t="s">
        <v>378</v>
      </c>
      <c r="S17" s="33"/>
    </row>
    <row r="18" spans="1:19" ht="15.5" thickTop="1" thickBot="1" x14ac:dyDescent="0.4">
      <c r="A18" s="71"/>
      <c r="C18" s="32" t="s">
        <v>267</v>
      </c>
      <c r="D18" t="s">
        <v>93</v>
      </c>
      <c r="E18" t="s">
        <v>104</v>
      </c>
      <c r="F18" s="79"/>
      <c r="G18" s="79">
        <v>0.7</v>
      </c>
      <c r="H18" s="79">
        <v>0.7</v>
      </c>
      <c r="I18" s="79">
        <v>0.7</v>
      </c>
      <c r="J18" s="79"/>
      <c r="K18" s="79">
        <v>0.7</v>
      </c>
      <c r="L18" s="79">
        <v>0.7</v>
      </c>
      <c r="M18" s="79">
        <v>0.7</v>
      </c>
      <c r="S18" s="33"/>
    </row>
    <row r="19" spans="1:19" ht="15" thickTop="1" x14ac:dyDescent="0.35">
      <c r="A19" s="41"/>
      <c r="B19" s="42"/>
      <c r="C19" s="42"/>
      <c r="D19" s="42"/>
      <c r="E19" s="42"/>
      <c r="F19" s="42"/>
      <c r="G19" s="42"/>
      <c r="H19" s="42"/>
      <c r="I19" s="42"/>
      <c r="J19" s="42"/>
      <c r="K19" s="42"/>
      <c r="L19" s="42"/>
      <c r="M19" s="42"/>
      <c r="N19" s="42"/>
      <c r="O19" s="42"/>
      <c r="P19" s="42"/>
      <c r="Q19" s="42"/>
      <c r="R19" s="42"/>
      <c r="S19" s="43"/>
    </row>
    <row r="20" spans="1:19" ht="19" thickBot="1" x14ac:dyDescent="0.5">
      <c r="A20" s="70"/>
      <c r="B20" s="133" t="s">
        <v>398</v>
      </c>
      <c r="C20" s="34"/>
      <c r="D20" s="34"/>
      <c r="E20" s="34"/>
      <c r="F20" s="34"/>
      <c r="G20" s="34"/>
      <c r="H20" s="34"/>
      <c r="I20" s="34"/>
      <c r="J20" s="34"/>
      <c r="K20" s="34"/>
      <c r="L20" s="34"/>
      <c r="M20" s="34"/>
      <c r="N20" s="34"/>
      <c r="O20" s="34"/>
      <c r="P20" s="34"/>
      <c r="Q20" s="34"/>
      <c r="R20" s="34"/>
      <c r="S20" s="35"/>
    </row>
    <row r="21" spans="1:19" ht="15.5" thickTop="1" thickBot="1" x14ac:dyDescent="0.4">
      <c r="A21" s="71"/>
      <c r="C21" s="38" t="s">
        <v>131</v>
      </c>
      <c r="D21" t="s">
        <v>132</v>
      </c>
      <c r="E21" t="s">
        <v>133</v>
      </c>
      <c r="F21" s="81"/>
      <c r="G21" s="81">
        <f>G10/((PI()/4)*(G18/2)^2)</f>
        <v>3.0983842691736694</v>
      </c>
      <c r="H21" s="81">
        <f>H10/((PI()/4)*(H18/2)^2)</f>
        <v>3.0983842691736694</v>
      </c>
      <c r="I21" s="81">
        <f t="shared" ref="I21" si="0">I10/((PI()/4)*(I18/2)^2)</f>
        <v>3.0983842691736694</v>
      </c>
      <c r="J21" s="81"/>
      <c r="K21" s="81">
        <f>K10/((PI()/4)*(K18/2)^2)</f>
        <v>3.8592723875636223</v>
      </c>
      <c r="L21" s="81">
        <f t="shared" ref="L21:M21" si="1">L10/((PI()/4)*(L18/2)^2)</f>
        <v>3.8592723875636223</v>
      </c>
      <c r="M21" s="81">
        <f t="shared" si="1"/>
        <v>3.8592723875636223</v>
      </c>
      <c r="O21" t="s">
        <v>198</v>
      </c>
      <c r="P21" t="s">
        <v>199</v>
      </c>
      <c r="Q21" t="s">
        <v>200</v>
      </c>
      <c r="R21" s="31">
        <v>9.8070000000000004</v>
      </c>
      <c r="S21" s="33"/>
    </row>
    <row r="22" spans="1:19" ht="15" thickTop="1" x14ac:dyDescent="0.35">
      <c r="A22" s="71"/>
      <c r="C22" s="38" t="s">
        <v>134</v>
      </c>
      <c r="D22" t="s">
        <v>93</v>
      </c>
      <c r="E22" s="33" t="s">
        <v>135</v>
      </c>
      <c r="F22" s="76"/>
      <c r="G22" s="76">
        <f>(G21^2)/(2*g)</f>
        <v>0.48944555314891669</v>
      </c>
      <c r="H22" s="76">
        <f>(H21^2)/(2*g)</f>
        <v>0.48944555314891669</v>
      </c>
      <c r="I22" s="76">
        <f>(I21^2)/(2*g)</f>
        <v>0.48944555314891669</v>
      </c>
      <c r="J22" s="76"/>
      <c r="K22" s="76">
        <f>(K21^2)/(2*g)</f>
        <v>0.75935471405174981</v>
      </c>
      <c r="L22" s="76">
        <f>(L21^2)/(2*g)</f>
        <v>0.75935471405174981</v>
      </c>
      <c r="M22" s="76">
        <f>(M21^2)/(2*g)</f>
        <v>0.75935471405174981</v>
      </c>
      <c r="O22" t="s">
        <v>95</v>
      </c>
      <c r="P22" t="s">
        <v>96</v>
      </c>
      <c r="Q22" t="s">
        <v>201</v>
      </c>
      <c r="R22" s="31">
        <v>998</v>
      </c>
      <c r="S22" s="33"/>
    </row>
    <row r="23" spans="1:19" x14ac:dyDescent="0.35">
      <c r="A23" s="41"/>
      <c r="B23" s="42"/>
      <c r="C23" s="124"/>
      <c r="D23" s="42"/>
      <c r="E23" s="42"/>
      <c r="F23" s="125"/>
      <c r="G23" s="42"/>
      <c r="H23" s="42"/>
      <c r="I23" s="42"/>
      <c r="J23" s="42"/>
      <c r="K23" s="42"/>
      <c r="L23" s="42"/>
      <c r="M23" s="42"/>
      <c r="N23" s="42"/>
      <c r="O23" s="42"/>
      <c r="P23" s="42"/>
      <c r="Q23" s="42"/>
      <c r="R23" s="42"/>
      <c r="S23" s="43"/>
    </row>
    <row r="24" spans="1:19" ht="18.5" x14ac:dyDescent="0.45">
      <c r="A24" s="70"/>
      <c r="B24" s="133" t="s">
        <v>399</v>
      </c>
      <c r="C24" s="143"/>
      <c r="D24" s="34"/>
      <c r="E24" s="34"/>
      <c r="F24" s="34"/>
      <c r="G24" s="34"/>
      <c r="H24" s="34"/>
      <c r="I24" s="34"/>
      <c r="J24" s="34"/>
      <c r="K24" s="34"/>
      <c r="L24" s="34"/>
      <c r="M24" s="34"/>
      <c r="N24" s="34"/>
      <c r="O24" s="34"/>
      <c r="P24" s="34"/>
      <c r="Q24" s="34"/>
      <c r="R24" s="34"/>
      <c r="S24" s="35"/>
    </row>
    <row r="25" spans="1:19" ht="15" thickBot="1" x14ac:dyDescent="0.4">
      <c r="A25" s="71"/>
      <c r="B25" s="23" t="s">
        <v>383</v>
      </c>
      <c r="C25" s="32"/>
      <c r="S25" s="33"/>
    </row>
    <row r="26" spans="1:19" ht="15.5" thickTop="1" thickBot="1" x14ac:dyDescent="0.4">
      <c r="A26" s="71"/>
      <c r="C26" s="32" t="s">
        <v>129</v>
      </c>
      <c r="D26" t="s">
        <v>93</v>
      </c>
      <c r="E26" t="s">
        <v>130</v>
      </c>
      <c r="F26" s="79">
        <v>1</v>
      </c>
      <c r="G26" s="79">
        <v>1</v>
      </c>
      <c r="H26" s="79">
        <v>1</v>
      </c>
      <c r="I26" s="79">
        <v>1</v>
      </c>
      <c r="J26" s="79">
        <v>1</v>
      </c>
      <c r="K26" s="79">
        <v>1</v>
      </c>
      <c r="L26" s="79">
        <v>1</v>
      </c>
      <c r="M26" s="79">
        <v>1</v>
      </c>
      <c r="S26" s="33"/>
    </row>
    <row r="27" spans="1:19" ht="15" thickTop="1" x14ac:dyDescent="0.35">
      <c r="A27" s="71"/>
      <c r="F27" s="144"/>
      <c r="S27" s="33"/>
    </row>
    <row r="28" spans="1:19" ht="15.5" x14ac:dyDescent="0.35">
      <c r="A28" s="71"/>
      <c r="C28" s="145" t="s">
        <v>386</v>
      </c>
      <c r="S28" s="33"/>
    </row>
    <row r="29" spans="1:19" x14ac:dyDescent="0.35">
      <c r="A29" s="71"/>
      <c r="C29" s="23" t="s">
        <v>384</v>
      </c>
      <c r="E29" s="33"/>
      <c r="Q29" s="23" t="s">
        <v>385</v>
      </c>
      <c r="S29" s="33"/>
    </row>
    <row r="30" spans="1:19" hidden="1" x14ac:dyDescent="0.35">
      <c r="A30" s="71"/>
      <c r="C30" t="s">
        <v>136</v>
      </c>
      <c r="D30" s="34"/>
      <c r="E30" s="35" t="s">
        <v>137</v>
      </c>
      <c r="F30" s="69">
        <f t="shared" ref="F30:M30" si="2">Dp*vp*rho/mu</f>
        <v>0</v>
      </c>
      <c r="G30" s="69">
        <f t="shared" si="2"/>
        <v>1656106.5420388104</v>
      </c>
      <c r="H30" s="69">
        <f t="shared" si="2"/>
        <v>1656106.5420388104</v>
      </c>
      <c r="I30" s="69">
        <f t="shared" si="2"/>
        <v>1656106.5420388104</v>
      </c>
      <c r="J30" s="69">
        <f t="shared" si="2"/>
        <v>0</v>
      </c>
      <c r="K30" s="69">
        <f t="shared" si="2"/>
        <v>2062806.1897107472</v>
      </c>
      <c r="L30" s="69">
        <f t="shared" si="2"/>
        <v>2062806.1897107472</v>
      </c>
      <c r="M30" s="69">
        <f t="shared" si="2"/>
        <v>2062806.1897107472</v>
      </c>
      <c r="O30" t="s">
        <v>202</v>
      </c>
      <c r="P30" t="s">
        <v>203</v>
      </c>
      <c r="Q30" t="s">
        <v>204</v>
      </c>
      <c r="R30" s="31">
        <v>1.307E-3</v>
      </c>
      <c r="S30" s="33"/>
    </row>
    <row r="31" spans="1:19" hidden="1" x14ac:dyDescent="0.35">
      <c r="A31" s="71"/>
      <c r="C31" t="s">
        <v>138</v>
      </c>
      <c r="E31" s="33" t="s">
        <v>139</v>
      </c>
      <c r="F31" s="30" t="e">
        <f t="shared" ref="F31:M31" si="3">eps/Dp</f>
        <v>#DIV/0!</v>
      </c>
      <c r="G31" s="30">
        <f t="shared" si="3"/>
        <v>1.4285714285714287E-4</v>
      </c>
      <c r="H31" s="30">
        <f t="shared" si="3"/>
        <v>1.4285714285714287E-4</v>
      </c>
      <c r="I31" s="30">
        <f t="shared" si="3"/>
        <v>1.4285714285714287E-4</v>
      </c>
      <c r="J31" s="30" t="e">
        <f t="shared" si="3"/>
        <v>#DIV/0!</v>
      </c>
      <c r="K31" s="30">
        <f t="shared" si="3"/>
        <v>1.4285714285714287E-4</v>
      </c>
      <c r="L31" s="30">
        <f t="shared" si="3"/>
        <v>1.4285714285714287E-4</v>
      </c>
      <c r="M31" s="30">
        <f t="shared" si="3"/>
        <v>1.4285714285714287E-4</v>
      </c>
      <c r="S31" s="33"/>
    </row>
    <row r="32" spans="1:19" hidden="1" x14ac:dyDescent="0.35">
      <c r="A32" s="71"/>
      <c r="E32" s="33"/>
      <c r="S32" s="33"/>
    </row>
    <row r="33" spans="1:19" hidden="1" x14ac:dyDescent="0.35">
      <c r="A33" s="71"/>
      <c r="C33" s="32" t="s">
        <v>140</v>
      </c>
      <c r="D33" s="34"/>
      <c r="E33" s="35"/>
      <c r="F33" s="36" t="s">
        <v>259</v>
      </c>
      <c r="G33" s="36"/>
      <c r="H33" s="36"/>
      <c r="I33" s="36"/>
      <c r="J33" s="36"/>
      <c r="K33" s="36"/>
      <c r="L33" s="36"/>
      <c r="M33" s="49"/>
      <c r="S33" s="33"/>
    </row>
    <row r="34" spans="1:19" hidden="1" x14ac:dyDescent="0.35">
      <c r="A34" s="71"/>
      <c r="C34" s="32"/>
      <c r="E34" s="33" t="s">
        <v>149</v>
      </c>
      <c r="F34" s="37" t="e">
        <f t="shared" ref="F34:M34" si="4">-2*LOG((eps/Dp/ka)+12/Re)</f>
        <v>#DIV/0!</v>
      </c>
      <c r="G34" s="37">
        <f t="shared" si="4"/>
        <v>8.6791821290007665</v>
      </c>
      <c r="H34" s="37">
        <f t="shared" si="4"/>
        <v>8.6791821290007665</v>
      </c>
      <c r="I34" s="37">
        <f t="shared" si="4"/>
        <v>8.6791821290007665</v>
      </c>
      <c r="J34" s="37" t="e">
        <f t="shared" si="4"/>
        <v>#DIV/0!</v>
      </c>
      <c r="K34" s="37">
        <f t="shared" si="4"/>
        <v>8.706736087162561</v>
      </c>
      <c r="L34" s="37">
        <f t="shared" si="4"/>
        <v>8.706736087162561</v>
      </c>
      <c r="M34" s="50">
        <f t="shared" si="4"/>
        <v>8.706736087162561</v>
      </c>
      <c r="O34" s="32" t="s">
        <v>105</v>
      </c>
      <c r="P34" t="s">
        <v>93</v>
      </c>
      <c r="Q34" t="s">
        <v>106</v>
      </c>
      <c r="R34" s="52">
        <v>1E-4</v>
      </c>
      <c r="S34" s="33"/>
    </row>
    <row r="35" spans="1:19" hidden="1" x14ac:dyDescent="0.35">
      <c r="A35" s="71"/>
      <c r="C35" s="32"/>
      <c r="E35" s="33" t="s">
        <v>150</v>
      </c>
      <c r="F35" s="37" t="e">
        <f t="shared" ref="F35:M35" si="5">-2*LOG((eps/Dp/ka)+kbb*Aa/Re)</f>
        <v>#DIV/0!</v>
      </c>
      <c r="G35" s="37">
        <f t="shared" si="5"/>
        <v>8.5736884612708035</v>
      </c>
      <c r="H35" s="37">
        <f t="shared" si="5"/>
        <v>8.5736884612708035</v>
      </c>
      <c r="I35" s="37">
        <f t="shared" si="5"/>
        <v>8.5736884612708035</v>
      </c>
      <c r="J35" s="37" t="e">
        <f t="shared" si="5"/>
        <v>#DIV/0!</v>
      </c>
      <c r="K35" s="37">
        <f t="shared" si="5"/>
        <v>8.6178329536487919</v>
      </c>
      <c r="L35" s="37">
        <f t="shared" si="5"/>
        <v>8.6178329536487919</v>
      </c>
      <c r="M35" s="50">
        <f t="shared" si="5"/>
        <v>8.6178329536487919</v>
      </c>
      <c r="P35" s="32" t="s">
        <v>205</v>
      </c>
      <c r="Q35" t="s">
        <v>206</v>
      </c>
      <c r="R35" s="31">
        <v>3.71</v>
      </c>
      <c r="S35" s="33"/>
    </row>
    <row r="36" spans="1:19" hidden="1" x14ac:dyDescent="0.35">
      <c r="A36" s="71"/>
      <c r="C36" s="32"/>
      <c r="E36" s="33" t="s">
        <v>151</v>
      </c>
      <c r="F36" s="37" t="e">
        <f t="shared" ref="F36:M36" si="6">-2*LOG((eps/Dp/ka)+kbb*Bb/Re)</f>
        <v>#DIV/0!</v>
      </c>
      <c r="G36" s="37">
        <f t="shared" si="6"/>
        <v>8.5763808843837683</v>
      </c>
      <c r="H36" s="37">
        <f t="shared" si="6"/>
        <v>8.5763808843837683</v>
      </c>
      <c r="I36" s="37">
        <f t="shared" si="6"/>
        <v>8.5763808843837683</v>
      </c>
      <c r="J36" s="37" t="e">
        <f t="shared" si="6"/>
        <v>#DIV/0!</v>
      </c>
      <c r="K36" s="37">
        <f t="shared" si="6"/>
        <v>8.6197487176175454</v>
      </c>
      <c r="L36" s="37">
        <f t="shared" si="6"/>
        <v>8.6197487176175454</v>
      </c>
      <c r="M36" s="50">
        <f t="shared" si="6"/>
        <v>8.6197487176175454</v>
      </c>
      <c r="P36" s="32" t="s">
        <v>210</v>
      </c>
      <c r="Q36" t="s">
        <v>211</v>
      </c>
      <c r="R36" s="31">
        <v>2.5099999999999998</v>
      </c>
      <c r="S36" s="33"/>
    </row>
    <row r="37" spans="1:19" x14ac:dyDescent="0.35">
      <c r="A37" s="71"/>
      <c r="C37" s="32"/>
      <c r="D37" s="32" t="s">
        <v>231</v>
      </c>
      <c r="E37" s="33" t="s">
        <v>152</v>
      </c>
      <c r="F37" s="51" t="str">
        <f t="shared" ref="F37:M37" si="7">IFERROR((Aa-(Bb-Aa)^2/(Cc-2*Bb+Aa))^-2,"")</f>
        <v/>
      </c>
      <c r="G37" s="51">
        <f t="shared" si="7"/>
        <v>1.3595608993294039E-2</v>
      </c>
      <c r="H37" s="51">
        <f t="shared" si="7"/>
        <v>1.3595608993294039E-2</v>
      </c>
      <c r="I37" s="51">
        <f t="shared" si="7"/>
        <v>1.3595608993294039E-2</v>
      </c>
      <c r="J37" s="51" t="str">
        <f t="shared" si="7"/>
        <v/>
      </c>
      <c r="K37" s="51">
        <f t="shared" si="7"/>
        <v>1.345906409164201E-2</v>
      </c>
      <c r="L37" s="51">
        <f t="shared" si="7"/>
        <v>1.345906409164201E-2</v>
      </c>
      <c r="M37" s="51">
        <f t="shared" si="7"/>
        <v>1.345906409164201E-2</v>
      </c>
      <c r="S37" s="33"/>
    </row>
    <row r="38" spans="1:19" ht="15" thickBot="1" x14ac:dyDescent="0.4">
      <c r="A38" s="71"/>
      <c r="F38" s="113"/>
      <c r="G38" s="113"/>
      <c r="H38" s="113"/>
      <c r="I38" s="113"/>
      <c r="J38" s="113"/>
      <c r="K38" s="113"/>
      <c r="L38" s="113"/>
      <c r="M38" s="113"/>
      <c r="S38" s="33"/>
    </row>
    <row r="39" spans="1:19" hidden="1" x14ac:dyDescent="0.35">
      <c r="A39" s="71"/>
      <c r="E39" t="s">
        <v>141</v>
      </c>
      <c r="F39" s="146" t="e">
        <f t="shared" ref="F39:M39" si="8">eps/Dp/ka</f>
        <v>#DIV/0!</v>
      </c>
      <c r="G39" s="146">
        <f t="shared" si="8"/>
        <v>3.8505968425105893E-5</v>
      </c>
      <c r="H39" s="146">
        <f t="shared" si="8"/>
        <v>3.8505968425105893E-5</v>
      </c>
      <c r="I39" s="146">
        <f t="shared" si="8"/>
        <v>3.8505968425105893E-5</v>
      </c>
      <c r="J39" s="146" t="e">
        <f t="shared" si="8"/>
        <v>#DIV/0!</v>
      </c>
      <c r="K39" s="146">
        <f t="shared" si="8"/>
        <v>3.8505968425105893E-5</v>
      </c>
      <c r="L39" s="146">
        <f t="shared" si="8"/>
        <v>3.8505968425105893E-5</v>
      </c>
      <c r="M39" s="146">
        <f t="shared" si="8"/>
        <v>3.8505968425105893E-5</v>
      </c>
      <c r="S39" s="33"/>
    </row>
    <row r="40" spans="1:19" hidden="1" x14ac:dyDescent="0.35">
      <c r="A40" s="71"/>
      <c r="E40" t="s">
        <v>142</v>
      </c>
      <c r="F40" s="147">
        <f t="shared" ref="F40:M40" si="9">LN(10)*Re/kdgs</f>
        <v>0</v>
      </c>
      <c r="G40" s="147">
        <f t="shared" si="9"/>
        <v>759626.7402606539</v>
      </c>
      <c r="H40" s="147">
        <f t="shared" si="9"/>
        <v>759626.7402606539</v>
      </c>
      <c r="I40" s="147">
        <f t="shared" si="9"/>
        <v>759626.7402606539</v>
      </c>
      <c r="J40" s="147">
        <f t="shared" si="9"/>
        <v>0</v>
      </c>
      <c r="K40" s="147">
        <f t="shared" si="9"/>
        <v>946172.66576968424</v>
      </c>
      <c r="L40" s="147">
        <f t="shared" si="9"/>
        <v>946172.66576968424</v>
      </c>
      <c r="M40" s="147">
        <f t="shared" si="9"/>
        <v>946172.66576968424</v>
      </c>
      <c r="S40" s="33"/>
    </row>
    <row r="41" spans="1:19" hidden="1" x14ac:dyDescent="0.35">
      <c r="A41" s="71"/>
      <c r="E41" t="s">
        <v>143</v>
      </c>
      <c r="F41" s="148" t="e">
        <f t="shared" ref="F41:M41" si="10">b*d+LN(d)</f>
        <v>#DIV/0!</v>
      </c>
      <c r="G41" s="148">
        <f t="shared" si="10"/>
        <v>42.79074573572494</v>
      </c>
      <c r="H41" s="148">
        <f t="shared" si="10"/>
        <v>42.79074573572494</v>
      </c>
      <c r="I41" s="148">
        <f t="shared" si="10"/>
        <v>42.79074573572494</v>
      </c>
      <c r="J41" s="148" t="e">
        <f t="shared" si="10"/>
        <v>#DIV/0!</v>
      </c>
      <c r="K41" s="148">
        <f t="shared" si="10"/>
        <v>50.193475146159912</v>
      </c>
      <c r="L41" s="148">
        <f t="shared" si="10"/>
        <v>50.193475146159912</v>
      </c>
      <c r="M41" s="148">
        <f t="shared" si="10"/>
        <v>50.193475146159912</v>
      </c>
      <c r="S41" s="33"/>
    </row>
    <row r="42" spans="1:19" hidden="1" x14ac:dyDescent="0.35">
      <c r="A42" s="71"/>
      <c r="E42" t="s">
        <v>144</v>
      </c>
      <c r="F42" s="148" t="e">
        <f t="shared" ref="F42:M42" si="11">s^(s/(s+1))</f>
        <v>#DIV/0!</v>
      </c>
      <c r="G42" s="148">
        <f t="shared" si="11"/>
        <v>39.27322391335133</v>
      </c>
      <c r="H42" s="148">
        <f t="shared" si="11"/>
        <v>39.27322391335133</v>
      </c>
      <c r="I42" s="148">
        <f t="shared" si="11"/>
        <v>39.27322391335133</v>
      </c>
      <c r="J42" s="148" t="e">
        <f t="shared" si="11"/>
        <v>#DIV/0!</v>
      </c>
      <c r="K42" s="148">
        <f t="shared" si="11"/>
        <v>46.497249641948848</v>
      </c>
      <c r="L42" s="148">
        <f t="shared" si="11"/>
        <v>46.497249641948848</v>
      </c>
      <c r="M42" s="148">
        <f t="shared" si="11"/>
        <v>46.497249641948848</v>
      </c>
      <c r="S42" s="33"/>
    </row>
    <row r="43" spans="1:19" hidden="1" x14ac:dyDescent="0.35">
      <c r="A43" s="71"/>
      <c r="E43" t="s">
        <v>145</v>
      </c>
      <c r="F43" s="148" t="e">
        <f t="shared" ref="F43:M43" si="12">b*d+LN(d/qq)</f>
        <v>#DIV/0!</v>
      </c>
      <c r="G43" s="148">
        <f t="shared" si="12"/>
        <v>39.120202774417336</v>
      </c>
      <c r="H43" s="148">
        <f t="shared" si="12"/>
        <v>39.120202774417336</v>
      </c>
      <c r="I43" s="148">
        <f t="shared" si="12"/>
        <v>39.120202774417336</v>
      </c>
      <c r="J43" s="148" t="e">
        <f t="shared" si="12"/>
        <v>#DIV/0!</v>
      </c>
      <c r="K43" s="148">
        <f t="shared" si="12"/>
        <v>46.354081982800857</v>
      </c>
      <c r="L43" s="148">
        <f t="shared" si="12"/>
        <v>46.354081982800857</v>
      </c>
      <c r="M43" s="148">
        <f t="shared" si="12"/>
        <v>46.354081982800857</v>
      </c>
      <c r="S43" s="33"/>
    </row>
    <row r="44" spans="1:19" hidden="1" x14ac:dyDescent="0.35">
      <c r="A44" s="71"/>
      <c r="E44" t="s">
        <v>146</v>
      </c>
      <c r="F44" s="149" t="e">
        <f t="shared" ref="F44:M44" si="13">LN(qq/gg)</f>
        <v>#DIV/0!</v>
      </c>
      <c r="G44" s="149">
        <f t="shared" si="13"/>
        <v>3.903932759287842E-3</v>
      </c>
      <c r="H44" s="149">
        <f t="shared" si="13"/>
        <v>3.903932759287842E-3</v>
      </c>
      <c r="I44" s="149">
        <f t="shared" si="13"/>
        <v>3.903932759287842E-3</v>
      </c>
      <c r="J44" s="149" t="e">
        <f t="shared" si="13"/>
        <v>#DIV/0!</v>
      </c>
      <c r="K44" s="149">
        <f t="shared" si="13"/>
        <v>3.0838065561688307E-3</v>
      </c>
      <c r="L44" s="149">
        <f t="shared" si="13"/>
        <v>3.0838065561688307E-3</v>
      </c>
      <c r="M44" s="149">
        <f t="shared" si="13"/>
        <v>3.0838065561688307E-3</v>
      </c>
      <c r="S44" s="33"/>
    </row>
    <row r="45" spans="1:19" hidden="1" x14ac:dyDescent="0.35">
      <c r="A45" s="71"/>
      <c r="D45" t="s">
        <v>147</v>
      </c>
      <c r="E45" t="s">
        <v>148</v>
      </c>
      <c r="F45" s="113" t="e">
        <f t="shared" ref="F45:M45" si="14">LN(10)^2/4/(LN(d/qq)+z*gg/(gg+1)*(1+z/2/((gg+1)^2+z/3*(2*gg-1))))^2</f>
        <v>#DIV/0!</v>
      </c>
      <c r="G45" s="113">
        <f t="shared" si="14"/>
        <v>1.3595609306667839E-2</v>
      </c>
      <c r="H45" s="113">
        <f t="shared" si="14"/>
        <v>1.3595609306667839E-2</v>
      </c>
      <c r="I45" s="113">
        <f t="shared" si="14"/>
        <v>1.3595609306667839E-2</v>
      </c>
      <c r="J45" s="113" t="e">
        <f t="shared" si="14"/>
        <v>#DIV/0!</v>
      </c>
      <c r="K45" s="113">
        <f t="shared" si="14"/>
        <v>1.3459064225097257E-2</v>
      </c>
      <c r="L45" s="113">
        <f t="shared" si="14"/>
        <v>1.3459064225097257E-2</v>
      </c>
      <c r="M45" s="113">
        <f t="shared" si="14"/>
        <v>1.3459064225097257E-2</v>
      </c>
      <c r="S45" s="33"/>
    </row>
    <row r="46" spans="1:19" hidden="1" x14ac:dyDescent="0.35">
      <c r="A46" s="71"/>
      <c r="S46" s="33"/>
    </row>
    <row r="47" spans="1:19" hidden="1" x14ac:dyDescent="0.35">
      <c r="A47" s="71"/>
      <c r="D47" t="s">
        <v>153</v>
      </c>
      <c r="E47" t="s">
        <v>154</v>
      </c>
      <c r="F47" s="113" t="e">
        <f t="shared" ref="F47:M47" si="15">1/(-kh*LOG((eps/Dp/ka)^ke+kbbb/Re))^2</f>
        <v>#DIV/0!</v>
      </c>
      <c r="G47" s="113">
        <f t="shared" si="15"/>
        <v>1.3531532079694014E-2</v>
      </c>
      <c r="H47" s="113">
        <f t="shared" si="15"/>
        <v>1.3531532079694014E-2</v>
      </c>
      <c r="I47" s="113">
        <f t="shared" si="15"/>
        <v>1.3531532079694014E-2</v>
      </c>
      <c r="J47" s="113" t="e">
        <f t="shared" si="15"/>
        <v>#DIV/0!</v>
      </c>
      <c r="K47" s="113">
        <f t="shared" si="15"/>
        <v>1.3408655026943102E-2</v>
      </c>
      <c r="L47" s="113">
        <f t="shared" si="15"/>
        <v>1.3408655026943102E-2</v>
      </c>
      <c r="M47" s="113">
        <f t="shared" si="15"/>
        <v>1.3408655026943102E-2</v>
      </c>
      <c r="S47" s="33"/>
    </row>
    <row r="48" spans="1:19" hidden="1" x14ac:dyDescent="0.35">
      <c r="A48" s="71"/>
      <c r="F48" s="150"/>
      <c r="G48" s="150"/>
      <c r="H48" s="150"/>
      <c r="I48" s="150"/>
      <c r="J48" s="150"/>
      <c r="K48" s="150"/>
      <c r="L48" s="150"/>
      <c r="M48" s="150"/>
      <c r="S48" s="33"/>
    </row>
    <row r="49" spans="1:19" hidden="1" x14ac:dyDescent="0.35">
      <c r="A49" s="71"/>
      <c r="D49" t="s">
        <v>155</v>
      </c>
      <c r="E49" t="s">
        <v>156</v>
      </c>
      <c r="F49" s="113" t="e">
        <f t="shared" ref="F49:M49" si="16">1/4/LOG(eps/ka/Dp+kbbbb/Re^kee)^2</f>
        <v>#DIV/0!</v>
      </c>
      <c r="G49" s="113">
        <f t="shared" si="16"/>
        <v>1.3675740422630726E-2</v>
      </c>
      <c r="H49" s="113">
        <f t="shared" si="16"/>
        <v>1.3675740422630726E-2</v>
      </c>
      <c r="I49" s="113">
        <f t="shared" si="16"/>
        <v>1.3675740422630726E-2</v>
      </c>
      <c r="J49" s="113" t="e">
        <f t="shared" si="16"/>
        <v>#DIV/0!</v>
      </c>
      <c r="K49" s="113">
        <f t="shared" si="16"/>
        <v>1.3536968250575068E-2</v>
      </c>
      <c r="L49" s="113">
        <f t="shared" si="16"/>
        <v>1.3536968250575068E-2</v>
      </c>
      <c r="M49" s="113">
        <f t="shared" si="16"/>
        <v>1.3536968250575068E-2</v>
      </c>
      <c r="S49" s="33"/>
    </row>
    <row r="50" spans="1:19" hidden="1" x14ac:dyDescent="0.35">
      <c r="A50" s="71"/>
      <c r="S50" s="33"/>
    </row>
    <row r="51" spans="1:19" hidden="1" x14ac:dyDescent="0.35">
      <c r="A51" s="71"/>
      <c r="D51" t="s">
        <v>157</v>
      </c>
      <c r="E51" t="s">
        <v>158</v>
      </c>
      <c r="F51" s="113" t="e">
        <f t="shared" ref="F51:M51" si="17">1/4/LOG((eps/Dp/ka)+kbbr/Re*LN(Re/kabr/LN(kcbr*Re/LN(1+kcbr*Re))))^2</f>
        <v>#DIV/0!</v>
      </c>
      <c r="G51" s="113">
        <f t="shared" si="17"/>
        <v>1.3691925218615165E-2</v>
      </c>
      <c r="H51" s="113">
        <f t="shared" si="17"/>
        <v>1.3691925218615165E-2</v>
      </c>
      <c r="I51" s="113">
        <f t="shared" si="17"/>
        <v>1.3691925218615165E-2</v>
      </c>
      <c r="J51" s="113" t="e">
        <f t="shared" si="17"/>
        <v>#DIV/0!</v>
      </c>
      <c r="K51" s="113">
        <f t="shared" si="17"/>
        <v>1.3548003298760266E-2</v>
      </c>
      <c r="L51" s="113">
        <f t="shared" si="17"/>
        <v>1.3548003298760266E-2</v>
      </c>
      <c r="M51" s="113">
        <f t="shared" si="17"/>
        <v>1.3548003298760266E-2</v>
      </c>
      <c r="S51" s="33"/>
    </row>
    <row r="52" spans="1:19" ht="15.5" thickTop="1" thickBot="1" x14ac:dyDescent="0.4">
      <c r="A52" s="71"/>
      <c r="C52" s="38" t="s">
        <v>159</v>
      </c>
      <c r="D52" t="s">
        <v>93</v>
      </c>
      <c r="E52" t="s">
        <v>160</v>
      </c>
      <c r="F52" s="114"/>
      <c r="G52" s="114">
        <f>(G37*G14*(G21)^2)/(G18*2*g)</f>
        <v>0.60663588140039693</v>
      </c>
      <c r="H52" s="114">
        <f>(H37*H14*(H21)^2)/(H18*2*g)</f>
        <v>0.83718113524602211</v>
      </c>
      <c r="I52" s="114">
        <f>(I37*I14*(I21)^2)/(I18*2*g)</f>
        <v>2.0798293352904014</v>
      </c>
      <c r="J52" s="114"/>
      <c r="K52" s="114">
        <f>(K37*K14*(K21)^2)/(K18*2*g)</f>
        <v>0.93171823669799481</v>
      </c>
      <c r="L52" s="114">
        <f>(L37*L14*(L21)^2)/(L18*2*g)</f>
        <v>1.285807442394618</v>
      </c>
      <c r="M52" s="114">
        <f>(M37*M14*(M21)^2)/(M18*2*g)</f>
        <v>3.1943625168299636</v>
      </c>
      <c r="S52" s="33"/>
    </row>
    <row r="53" spans="1:19" ht="15" thickTop="1" x14ac:dyDescent="0.35">
      <c r="A53" s="71"/>
      <c r="C53" s="32" t="s">
        <v>253</v>
      </c>
      <c r="E53" s="33"/>
      <c r="F53" s="6"/>
      <c r="G53" s="6">
        <f>G52/G9</f>
        <v>3.0331794070019846E-2</v>
      </c>
      <c r="H53" s="6">
        <f t="shared" ref="H53:K53" si="18">H52/H9</f>
        <v>2.790603784153407E-2</v>
      </c>
      <c r="I53" s="6">
        <f t="shared" si="18"/>
        <v>5.1995733382260031E-2</v>
      </c>
      <c r="J53" s="6"/>
      <c r="K53" s="6">
        <f t="shared" si="18"/>
        <v>4.658591183489974E-2</v>
      </c>
      <c r="L53" s="6">
        <f>L52/L9</f>
        <v>4.2860248079820598E-2</v>
      </c>
      <c r="M53" s="6">
        <f>M52/M9</f>
        <v>7.9859062920749097E-2</v>
      </c>
      <c r="S53" s="33"/>
    </row>
    <row r="54" spans="1:19" x14ac:dyDescent="0.35">
      <c r="A54" s="71"/>
      <c r="C54" s="32"/>
      <c r="E54" s="33"/>
      <c r="F54" s="151"/>
      <c r="G54" s="151"/>
      <c r="H54" s="151"/>
      <c r="I54" s="151"/>
      <c r="J54" s="151"/>
      <c r="K54" s="151"/>
      <c r="L54" s="151"/>
      <c r="M54" s="151"/>
      <c r="S54" s="33"/>
    </row>
    <row r="55" spans="1:19" x14ac:dyDescent="0.35">
      <c r="A55" s="71"/>
      <c r="C55" s="23" t="s">
        <v>162</v>
      </c>
      <c r="E55" s="33"/>
      <c r="O55" t="s">
        <v>192</v>
      </c>
      <c r="S55" s="33"/>
    </row>
    <row r="56" spans="1:19" x14ac:dyDescent="0.35">
      <c r="A56" s="71"/>
      <c r="C56" s="32" t="s">
        <v>163</v>
      </c>
      <c r="D56" t="s">
        <v>93</v>
      </c>
      <c r="E56" s="33" t="s">
        <v>164</v>
      </c>
      <c r="F56" s="3"/>
      <c r="G56" s="3">
        <f>(Ki*(G21^2)/(2*g))</f>
        <v>0.24472277657445834</v>
      </c>
      <c r="H56" s="3">
        <f>(Ki*(H21^2)/(2*g))</f>
        <v>0.24472277657445834</v>
      </c>
      <c r="I56" s="3">
        <f>(Ki*(I21^2)/(2*g))</f>
        <v>0.24472277657445834</v>
      </c>
      <c r="J56" s="3"/>
      <c r="K56" s="3">
        <f>(Ki*(K21^2)/(2*g))</f>
        <v>0.37967735702587491</v>
      </c>
      <c r="L56" s="3">
        <f>(Ki*(L21^2)/(2*g))</f>
        <v>0.37967735702587491</v>
      </c>
      <c r="M56" s="3">
        <f>(Ki*(M21^2)/(2*g))</f>
        <v>0.37967735702587491</v>
      </c>
      <c r="O56" t="s">
        <v>163</v>
      </c>
      <c r="Q56" t="s">
        <v>193</v>
      </c>
      <c r="R56" s="31">
        <v>0.5</v>
      </c>
      <c r="S56" s="33"/>
    </row>
    <row r="57" spans="1:19" x14ac:dyDescent="0.35">
      <c r="A57" s="71"/>
      <c r="C57" s="32" t="s">
        <v>165</v>
      </c>
      <c r="D57" t="s">
        <v>93</v>
      </c>
      <c r="E57" s="33" t="s">
        <v>166</v>
      </c>
      <c r="F57" s="3"/>
      <c r="G57" s="3">
        <f>(Kv*(G21^2)/(2*g))</f>
        <v>7.3416832972337503E-2</v>
      </c>
      <c r="H57" s="3">
        <f>(Kv*(H21^2)/(2*g))</f>
        <v>7.3416832972337503E-2</v>
      </c>
      <c r="I57" s="3">
        <f>(Kv*(I21^2)/(2*g))</f>
        <v>7.3416832972337503E-2</v>
      </c>
      <c r="J57" s="3"/>
      <c r="K57" s="3">
        <f>(Kv*(K21^2)/(2*g))</f>
        <v>0.11390320710776247</v>
      </c>
      <c r="L57" s="3">
        <f>(Kv*(L21^2)/(2*g))</f>
        <v>0.11390320710776247</v>
      </c>
      <c r="M57" s="3">
        <f>(Kv*(M21^2)/(2*g))</f>
        <v>0.11390320710776247</v>
      </c>
      <c r="O57" t="s">
        <v>165</v>
      </c>
      <c r="Q57" t="s">
        <v>194</v>
      </c>
      <c r="R57" s="31">
        <v>0.15</v>
      </c>
      <c r="S57" s="33"/>
    </row>
    <row r="58" spans="1:19" ht="15" thickBot="1" x14ac:dyDescent="0.4">
      <c r="A58" s="71"/>
      <c r="C58" s="32" t="s">
        <v>254</v>
      </c>
      <c r="D58" t="s">
        <v>93</v>
      </c>
      <c r="E58" s="33" t="s">
        <v>168</v>
      </c>
      <c r="F58" s="3"/>
      <c r="G58" s="3">
        <f>(Kb*(G21^2)/(2*g))*'4 Gross Head'!G18</f>
        <v>4.8944555314891669E-2</v>
      </c>
      <c r="H58" s="3">
        <f>(Kb*(H21^2)/(2*g))*'4 Gross Head'!H18</f>
        <v>4.8944555314891669E-2</v>
      </c>
      <c r="I58" s="3">
        <f>(Kb*(I21^2)/(2*g))*'4 Gross Head'!I18</f>
        <v>7.3416832972337503E-2</v>
      </c>
      <c r="J58" s="3"/>
      <c r="K58" s="3">
        <f>(Kb*(K21^2)/(2*g))*'4 Gross Head'!K18</f>
        <v>7.5935471405174995E-2</v>
      </c>
      <c r="L58" s="3">
        <f>(Kb*(L21^2)/(2*g))*'4 Gross Head'!L18</f>
        <v>7.5935471405174995E-2</v>
      </c>
      <c r="M58" s="3">
        <f>(Kb*(M21^2)/(2*g))*'4 Gross Head'!M18</f>
        <v>0.1139032071077625</v>
      </c>
      <c r="O58" t="s">
        <v>167</v>
      </c>
      <c r="Q58" t="s">
        <v>195</v>
      </c>
      <c r="R58" s="31">
        <v>0.05</v>
      </c>
      <c r="S58" s="33"/>
    </row>
    <row r="59" spans="1:19" ht="15.5" thickTop="1" thickBot="1" x14ac:dyDescent="0.4">
      <c r="A59" s="71"/>
      <c r="C59" s="32" t="s">
        <v>169</v>
      </c>
      <c r="D59" t="s">
        <v>93</v>
      </c>
      <c r="E59" t="s">
        <v>170</v>
      </c>
      <c r="F59" s="114"/>
      <c r="G59" s="114">
        <f t="shared" ref="G59:K59" si="19">SUM(G56:G58)</f>
        <v>0.36708416486168755</v>
      </c>
      <c r="H59" s="114">
        <f t="shared" si="19"/>
        <v>0.36708416486168755</v>
      </c>
      <c r="I59" s="114">
        <f t="shared" si="19"/>
        <v>0.39155644251913335</v>
      </c>
      <c r="J59" s="114"/>
      <c r="K59" s="114">
        <f t="shared" si="19"/>
        <v>0.56951603553881236</v>
      </c>
      <c r="L59" s="114">
        <f>SUM(L56:L58)</f>
        <v>0.56951603553881236</v>
      </c>
      <c r="M59" s="114">
        <f>SUM(M56:M58)</f>
        <v>0.60748377124139985</v>
      </c>
      <c r="O59" t="s">
        <v>196</v>
      </c>
      <c r="P59" t="s">
        <v>117</v>
      </c>
      <c r="Q59" t="s">
        <v>197</v>
      </c>
      <c r="R59" s="31">
        <v>30</v>
      </c>
      <c r="S59" s="33"/>
    </row>
    <row r="60" spans="1:19" ht="15" thickTop="1" x14ac:dyDescent="0.35">
      <c r="A60" s="71"/>
      <c r="C60" s="32" t="s">
        <v>253</v>
      </c>
      <c r="E60" s="33"/>
      <c r="F60" s="6"/>
      <c r="G60" s="6">
        <f t="shared" ref="G60:K60" si="20">G59/G9</f>
        <v>1.8354208243084376E-2</v>
      </c>
      <c r="H60" s="6">
        <f t="shared" si="20"/>
        <v>1.2236138828722919E-2</v>
      </c>
      <c r="I60" s="6">
        <f t="shared" si="20"/>
        <v>9.7889110629783335E-3</v>
      </c>
      <c r="J60" s="6"/>
      <c r="K60" s="6">
        <f t="shared" si="20"/>
        <v>2.8475801776940618E-2</v>
      </c>
      <c r="L60" s="6">
        <f>L59/L9</f>
        <v>1.8983867851293745E-2</v>
      </c>
      <c r="M60" s="6">
        <f>M59/M9</f>
        <v>1.5187094281034996E-2</v>
      </c>
      <c r="S60" s="33"/>
    </row>
    <row r="61" spans="1:19" x14ac:dyDescent="0.35">
      <c r="A61" s="71"/>
      <c r="C61" s="32"/>
      <c r="E61" s="33"/>
      <c r="F61" s="150"/>
      <c r="G61" s="150"/>
      <c r="H61" s="150"/>
      <c r="I61" s="150"/>
      <c r="J61" s="150"/>
      <c r="K61" s="150"/>
      <c r="L61" s="150"/>
      <c r="M61" s="150"/>
      <c r="S61" s="33"/>
    </row>
    <row r="62" spans="1:19" ht="15.5" x14ac:dyDescent="0.35">
      <c r="A62" s="71"/>
      <c r="C62" s="117" t="s">
        <v>387</v>
      </c>
      <c r="E62" s="33"/>
      <c r="F62" s="150"/>
      <c r="G62" s="150"/>
      <c r="H62" s="150"/>
      <c r="I62" s="150"/>
      <c r="J62" s="150"/>
      <c r="K62" s="150"/>
      <c r="L62" s="150"/>
      <c r="M62" s="150"/>
      <c r="O62" s="84" t="s">
        <v>109</v>
      </c>
      <c r="S62" s="33"/>
    </row>
    <row r="63" spans="1:19" ht="15" thickBot="1" x14ac:dyDescent="0.4">
      <c r="A63" s="71"/>
      <c r="C63" s="32" t="s">
        <v>131</v>
      </c>
      <c r="D63" t="s">
        <v>132</v>
      </c>
      <c r="E63" s="33" t="s">
        <v>171</v>
      </c>
      <c r="F63" s="7"/>
      <c r="G63" s="7">
        <f>H6/Atr</f>
        <v>0.59619900205459342</v>
      </c>
      <c r="H63" s="7">
        <f>H6/Atr</f>
        <v>0.59619900205459342</v>
      </c>
      <c r="I63" s="7">
        <f>H6/Atr</f>
        <v>0.59619900205459342</v>
      </c>
      <c r="J63" s="7"/>
      <c r="K63" s="7">
        <f>L6/Atr</f>
        <v>0.74261103408452367</v>
      </c>
      <c r="L63" s="7">
        <f>L6/Atr</f>
        <v>0.74261103408452367</v>
      </c>
      <c r="M63" s="7">
        <f>L6/Atr</f>
        <v>0.74261103408452367</v>
      </c>
      <c r="O63" s="32" t="s">
        <v>35</v>
      </c>
      <c r="P63" t="s">
        <v>110</v>
      </c>
      <c r="Q63" t="s">
        <v>111</v>
      </c>
      <c r="R63" s="52">
        <v>0.5</v>
      </c>
      <c r="S63" s="33"/>
    </row>
    <row r="64" spans="1:19" ht="15.5" thickTop="1" thickBot="1" x14ac:dyDescent="0.4">
      <c r="A64" s="71"/>
      <c r="C64" s="32" t="s">
        <v>172</v>
      </c>
      <c r="D64" t="s">
        <v>93</v>
      </c>
      <c r="E64" t="s">
        <v>173</v>
      </c>
      <c r="F64" s="115"/>
      <c r="G64" s="115">
        <f>(Ktr*(tb/bg)^(4/3))*((G63^2)/(2*g))*SIN(RADIANS(thtr))</f>
        <v>5.1470650380107084E-3</v>
      </c>
      <c r="H64" s="115">
        <f>(Ktr*(tb/bg)^(4/3))*((H63^2)/(2*g))*SIN(RADIANS(thtr))</f>
        <v>5.1470650380107084E-3</v>
      </c>
      <c r="I64" s="115">
        <f>(Ktr*(tb/bg)^(4/3))*((I63^2)/(2*g))*SIN(RADIANS(thtr))</f>
        <v>5.1470650380107084E-3</v>
      </c>
      <c r="J64" s="115"/>
      <c r="K64" s="115">
        <f>(Ktr*(tb/bg)^(4/3))*((K63^2)/(2*g))*SIN(RADIANS(thtr))</f>
        <v>7.9854604357907245E-3</v>
      </c>
      <c r="L64" s="115">
        <f>(Ktr*(tb/bg)^(4/3))*((L63^2)/(2*g))*SIN(RADIANS(thtr))</f>
        <v>7.9854604357907245E-3</v>
      </c>
      <c r="M64" s="115">
        <f>(Ktr*(tb/bg)^(4/3))*((M63^2)/(2*g))*SIN(RADIANS(thtr))</f>
        <v>7.9854604357907245E-3</v>
      </c>
      <c r="O64" s="32" t="s">
        <v>112</v>
      </c>
      <c r="P64" t="s">
        <v>93</v>
      </c>
      <c r="Q64" t="s">
        <v>113</v>
      </c>
      <c r="R64" s="52">
        <v>3.0000000000000001E-3</v>
      </c>
      <c r="S64" s="33"/>
    </row>
    <row r="65" spans="1:19" ht="15" thickTop="1" x14ac:dyDescent="0.35">
      <c r="A65" s="71"/>
      <c r="C65" s="32" t="s">
        <v>161</v>
      </c>
      <c r="E65" s="33"/>
      <c r="F65" s="8"/>
      <c r="G65" s="8">
        <f t="shared" ref="G65:K65" si="21">G64/G9</f>
        <v>2.5735325190053541E-4</v>
      </c>
      <c r="H65" s="8">
        <f t="shared" si="21"/>
        <v>1.7156883460035696E-4</v>
      </c>
      <c r="I65" s="8">
        <f t="shared" si="21"/>
        <v>1.2867662595026771E-4</v>
      </c>
      <c r="J65" s="8"/>
      <c r="K65" s="8">
        <f t="shared" si="21"/>
        <v>3.9927302178953622E-4</v>
      </c>
      <c r="L65" s="8">
        <f>L64/L9</f>
        <v>2.661820145263575E-4</v>
      </c>
      <c r="M65" s="8">
        <f>M64/M9</f>
        <v>1.9963651089476811E-4</v>
      </c>
      <c r="O65" s="32" t="s">
        <v>114</v>
      </c>
      <c r="P65" t="s">
        <v>93</v>
      </c>
      <c r="Q65" t="s">
        <v>115</v>
      </c>
      <c r="R65" s="52">
        <v>0.01</v>
      </c>
      <c r="S65" s="33"/>
    </row>
    <row r="66" spans="1:19" ht="15" thickBot="1" x14ac:dyDescent="0.4">
      <c r="A66" s="71"/>
      <c r="C66" s="32"/>
      <c r="E66" s="33"/>
      <c r="O66" s="32" t="s">
        <v>116</v>
      </c>
      <c r="P66" t="s">
        <v>117</v>
      </c>
      <c r="Q66" t="s">
        <v>118</v>
      </c>
      <c r="R66" s="52">
        <v>45</v>
      </c>
      <c r="S66" s="33"/>
    </row>
    <row r="67" spans="1:19" ht="16.5" thickTop="1" thickBot="1" x14ac:dyDescent="0.4">
      <c r="A67" s="71"/>
      <c r="C67" s="118" t="s">
        <v>174</v>
      </c>
      <c r="D67" t="s">
        <v>93</v>
      </c>
      <c r="E67" t="s">
        <v>175</v>
      </c>
      <c r="F67" s="114"/>
      <c r="G67" s="114">
        <f t="shared" ref="G67:K67" si="22">SUM(G52,G59,G64)</f>
        <v>0.97886711130009518</v>
      </c>
      <c r="H67" s="114">
        <f t="shared" si="22"/>
        <v>1.2094123651457205</v>
      </c>
      <c r="I67" s="114">
        <f t="shared" si="22"/>
        <v>2.4765328428475453</v>
      </c>
      <c r="J67" s="114"/>
      <c r="K67" s="114">
        <f t="shared" si="22"/>
        <v>1.5092197326725978</v>
      </c>
      <c r="L67" s="114">
        <f>SUM(L52,L59,L64)</f>
        <v>1.8633089383692212</v>
      </c>
      <c r="M67" s="114">
        <f>SUM(M52,M59,M64)</f>
        <v>3.809831748507154</v>
      </c>
      <c r="O67" s="32" t="s">
        <v>119</v>
      </c>
      <c r="Q67" t="s">
        <v>120</v>
      </c>
      <c r="R67" s="52">
        <v>2</v>
      </c>
      <c r="S67" s="33"/>
    </row>
    <row r="68" spans="1:19" ht="15" thickTop="1" x14ac:dyDescent="0.35">
      <c r="A68" s="71"/>
      <c r="C68" s="32" t="s">
        <v>161</v>
      </c>
      <c r="E68" s="33"/>
      <c r="F68" s="6"/>
      <c r="G68" s="6"/>
      <c r="H68" s="6"/>
      <c r="I68" s="6"/>
      <c r="J68" s="6"/>
      <c r="K68" s="6"/>
      <c r="L68" s="6"/>
      <c r="M68" s="6"/>
      <c r="O68" s="152"/>
      <c r="S68" s="33"/>
    </row>
    <row r="69" spans="1:19" ht="15" thickBot="1" x14ac:dyDescent="0.4">
      <c r="A69" s="71"/>
      <c r="S69" s="33"/>
    </row>
    <row r="70" spans="1:19" ht="19.5" thickTop="1" thickBot="1" x14ac:dyDescent="0.5">
      <c r="A70" s="71"/>
      <c r="C70" s="112" t="s">
        <v>380</v>
      </c>
      <c r="D70" s="23" t="s">
        <v>93</v>
      </c>
      <c r="E70" s="23" t="s">
        <v>176</v>
      </c>
      <c r="F70" s="110"/>
      <c r="G70" s="110">
        <f t="shared" ref="G70:K70" si="23">G9-G67</f>
        <v>19.021132888699906</v>
      </c>
      <c r="H70" s="110">
        <f t="shared" si="23"/>
        <v>28.79058763485428</v>
      </c>
      <c r="I70" s="110">
        <f t="shared" si="23"/>
        <v>37.523467157152453</v>
      </c>
      <c r="J70" s="110"/>
      <c r="K70" s="110">
        <f t="shared" si="23"/>
        <v>18.490780267327402</v>
      </c>
      <c r="L70" s="110">
        <f>L9-L67</f>
        <v>28.136691061630778</v>
      </c>
      <c r="M70" s="110">
        <f>M9-M67</f>
        <v>36.19016825149285</v>
      </c>
      <c r="S70" s="33"/>
    </row>
    <row r="71" spans="1:19" ht="15" thickTop="1" x14ac:dyDescent="0.35">
      <c r="A71" s="41"/>
      <c r="B71" s="42"/>
      <c r="C71" s="42"/>
      <c r="D71" s="42"/>
      <c r="E71" s="42"/>
      <c r="F71" s="42"/>
      <c r="G71" s="42"/>
      <c r="H71" s="42"/>
      <c r="I71" s="42"/>
      <c r="J71" s="42"/>
      <c r="K71" s="42"/>
      <c r="L71" s="42"/>
      <c r="M71" s="42"/>
      <c r="N71" s="42"/>
      <c r="O71" s="42"/>
      <c r="P71" s="42"/>
      <c r="Q71" s="42"/>
      <c r="R71" s="42"/>
      <c r="S71" s="43"/>
    </row>
    <row r="72" spans="1:19" x14ac:dyDescent="0.35">
      <c r="A72" s="70"/>
      <c r="B72" s="34"/>
      <c r="C72" s="34"/>
      <c r="D72" s="34"/>
      <c r="E72" s="34"/>
      <c r="F72" s="34"/>
      <c r="G72" s="34"/>
      <c r="H72" s="34"/>
      <c r="I72" s="34"/>
      <c r="J72" s="34"/>
      <c r="K72" s="34"/>
      <c r="L72" s="34"/>
      <c r="M72" s="34"/>
      <c r="N72" s="34"/>
      <c r="O72" s="34"/>
      <c r="P72" s="34"/>
      <c r="Q72" s="34"/>
      <c r="R72" s="34"/>
      <c r="S72" s="35"/>
    </row>
    <row r="73" spans="1:19" ht="19" thickBot="1" x14ac:dyDescent="0.5">
      <c r="A73" s="71"/>
      <c r="B73" s="100" t="s">
        <v>400</v>
      </c>
      <c r="S73" s="33"/>
    </row>
    <row r="74" spans="1:19" ht="19.5" thickTop="1" thickBot="1" x14ac:dyDescent="0.5">
      <c r="A74" s="71"/>
      <c r="C74" s="84" t="s">
        <v>379</v>
      </c>
      <c r="D74" s="23" t="s">
        <v>177</v>
      </c>
      <c r="E74" s="116" t="s">
        <v>178</v>
      </c>
      <c r="F74" s="110"/>
      <c r="G74" s="110">
        <f>H6*rho*g*G70/1000</f>
        <v>55.49634040686027</v>
      </c>
      <c r="H74" s="110">
        <f>H6*rho*g*H70/1000</f>
        <v>83.999846972659626</v>
      </c>
      <c r="I74" s="110">
        <f>H6*rho*g*I70/1000</f>
        <v>109.47902623802692</v>
      </c>
      <c r="J74" s="110"/>
      <c r="K74" s="110">
        <f>L6*rho*g*K70/1000</f>
        <v>67.19753722904268</v>
      </c>
      <c r="L74" s="110">
        <f>L6*rho*g*L70/1000</f>
        <v>102.25184214950842</v>
      </c>
      <c r="M74" s="110">
        <f>L6*rho*g*M70/1000</f>
        <v>131.51906751615445</v>
      </c>
      <c r="S74" s="33"/>
    </row>
    <row r="75" spans="1:19" ht="15" thickTop="1" x14ac:dyDescent="0.35">
      <c r="A75" s="41"/>
      <c r="B75" s="42"/>
      <c r="C75" s="42"/>
      <c r="D75" s="42"/>
      <c r="E75" s="42"/>
      <c r="F75" s="42"/>
      <c r="G75" s="42"/>
      <c r="H75" s="42"/>
      <c r="I75" s="42"/>
      <c r="J75" s="42"/>
      <c r="K75" s="42"/>
      <c r="L75" s="42"/>
      <c r="M75" s="42"/>
      <c r="N75" s="42"/>
      <c r="O75" s="42"/>
      <c r="P75" s="42"/>
      <c r="Q75" s="42"/>
      <c r="R75" s="42"/>
      <c r="S75" s="43"/>
    </row>
  </sheetData>
  <sheetProtection algorithmName="SHA-512" hashValue="BVUVpwjKhb24nSHjvspIKNoyljiZkePSZ6OmuEcPMuRic/qvJdoIUJ73YbpU6CCN9BTlxHCTnK59xsxphWp1nQ==" saltValue="H6IUd6MgiyPWsqtDpoeGYQ==" spinCount="100000" sheet="1" objects="1" scenarios="1"/>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EBE0EB-DA1B-47B1-841E-3A1266EC4763}">
  <dimension ref="A1:V38"/>
  <sheetViews>
    <sheetView topLeftCell="A14" zoomScale="76" workbookViewId="0">
      <selection activeCell="O26" sqref="O26"/>
    </sheetView>
  </sheetViews>
  <sheetFormatPr defaultRowHeight="14.5" x14ac:dyDescent="0.35"/>
  <cols>
    <col min="7" max="7" width="9.26953125" bestFit="1" customWidth="1"/>
  </cols>
  <sheetData>
    <row r="1" spans="1:22" x14ac:dyDescent="0.35">
      <c r="A1" s="70"/>
      <c r="B1" s="34"/>
      <c r="C1" s="34"/>
      <c r="D1" s="34"/>
      <c r="E1" s="34"/>
      <c r="F1" s="34"/>
      <c r="G1" s="34"/>
      <c r="H1" s="34"/>
      <c r="I1" s="34"/>
      <c r="J1" s="34"/>
      <c r="K1" s="34"/>
      <c r="L1" s="34"/>
      <c r="M1" s="34"/>
      <c r="N1" s="34"/>
      <c r="O1" s="34"/>
      <c r="P1" s="34"/>
      <c r="Q1" s="34"/>
      <c r="R1" s="34"/>
      <c r="S1" s="34"/>
      <c r="T1" s="34"/>
      <c r="U1" s="34"/>
      <c r="V1" s="35"/>
    </row>
    <row r="2" spans="1:22" ht="21" x14ac:dyDescent="0.5">
      <c r="A2" s="71"/>
      <c r="B2" s="132" t="s">
        <v>381</v>
      </c>
      <c r="V2" s="33"/>
    </row>
    <row r="3" spans="1:22" x14ac:dyDescent="0.35">
      <c r="A3" s="71"/>
      <c r="V3" s="33"/>
    </row>
    <row r="4" spans="1:22" ht="15" thickBot="1" x14ac:dyDescent="0.4">
      <c r="A4" s="71"/>
      <c r="F4" s="31"/>
      <c r="G4" s="31"/>
      <c r="H4" s="31" t="s">
        <v>343</v>
      </c>
      <c r="I4" s="31"/>
      <c r="J4" s="31"/>
      <c r="K4" s="31"/>
      <c r="L4" s="31"/>
      <c r="M4" s="31"/>
      <c r="V4" s="33"/>
    </row>
    <row r="5" spans="1:22" ht="15.5" thickTop="1" thickBot="1" x14ac:dyDescent="0.4">
      <c r="A5" s="71"/>
      <c r="C5" s="23" t="s">
        <v>380</v>
      </c>
      <c r="D5" s="23" t="s">
        <v>93</v>
      </c>
      <c r="E5" s="116" t="s">
        <v>176</v>
      </c>
      <c r="F5" s="80"/>
      <c r="G5" s="80">
        <f>'5 Pipe'!G70</f>
        <v>19.021132888699906</v>
      </c>
      <c r="H5" s="80">
        <f>'5 Pipe'!H70</f>
        <v>28.79058763485428</v>
      </c>
      <c r="I5" s="80">
        <f>'5 Pipe'!I70</f>
        <v>37.523467157152453</v>
      </c>
      <c r="J5" s="80"/>
      <c r="K5" s="80">
        <f>'5 Pipe'!K70</f>
        <v>18.490780267327402</v>
      </c>
      <c r="L5" s="80">
        <f>'5 Pipe'!L70</f>
        <v>28.136691061630778</v>
      </c>
      <c r="M5" s="80">
        <f>'5 Pipe'!M70</f>
        <v>36.19016825149285</v>
      </c>
      <c r="V5" s="33"/>
    </row>
    <row r="6" spans="1:22" ht="15.5" thickTop="1" thickBot="1" x14ac:dyDescent="0.4">
      <c r="A6" s="71"/>
      <c r="C6" s="84" t="s">
        <v>379</v>
      </c>
      <c r="D6" s="23" t="s">
        <v>177</v>
      </c>
      <c r="E6" s="116" t="s">
        <v>178</v>
      </c>
      <c r="F6" s="80"/>
      <c r="G6" s="80">
        <f>'5 Pipe'!G74</f>
        <v>55.49634040686027</v>
      </c>
      <c r="H6" s="80">
        <f>'5 Pipe'!H74</f>
        <v>83.999846972659626</v>
      </c>
      <c r="I6" s="80">
        <f>'5 Pipe'!I74</f>
        <v>109.47902623802692</v>
      </c>
      <c r="J6" s="80"/>
      <c r="K6" s="80">
        <f>'5 Pipe'!K74</f>
        <v>67.19753722904268</v>
      </c>
      <c r="L6" s="80">
        <f>'5 Pipe'!L74</f>
        <v>102.25184214950842</v>
      </c>
      <c r="M6" s="80">
        <f>'5 Pipe'!M74</f>
        <v>131.51906751615445</v>
      </c>
      <c r="V6" s="33"/>
    </row>
    <row r="7" spans="1:22" ht="15" thickTop="1" x14ac:dyDescent="0.35">
      <c r="A7" s="71"/>
      <c r="F7" s="31"/>
      <c r="G7" s="31"/>
      <c r="H7" s="31"/>
      <c r="I7" s="31"/>
      <c r="J7" s="31"/>
      <c r="K7" s="31"/>
      <c r="L7" s="31"/>
      <c r="M7" s="31"/>
      <c r="V7" s="33"/>
    </row>
    <row r="8" spans="1:22" x14ac:dyDescent="0.35">
      <c r="A8" s="41"/>
      <c r="B8" s="42"/>
      <c r="C8" s="42"/>
      <c r="D8" s="42"/>
      <c r="E8" s="42"/>
      <c r="F8" s="42"/>
      <c r="G8" s="42"/>
      <c r="H8" s="42"/>
      <c r="I8" s="42"/>
      <c r="J8" s="42"/>
      <c r="K8" s="42"/>
      <c r="L8" s="42"/>
      <c r="M8" s="42"/>
      <c r="N8" s="42"/>
      <c r="O8" s="42"/>
      <c r="P8" s="42"/>
      <c r="Q8" s="42"/>
      <c r="R8" s="42"/>
      <c r="S8" s="42"/>
      <c r="T8" s="42"/>
      <c r="U8" s="42"/>
      <c r="V8" s="43"/>
    </row>
    <row r="9" spans="1:22" ht="19" thickBot="1" x14ac:dyDescent="0.5">
      <c r="A9" s="70"/>
      <c r="B9" s="133" t="s">
        <v>401</v>
      </c>
      <c r="C9" s="34"/>
      <c r="D9" s="34"/>
      <c r="E9" s="34"/>
      <c r="F9" s="134"/>
      <c r="G9" s="34"/>
      <c r="H9" s="34"/>
      <c r="I9" s="34"/>
      <c r="J9" s="34"/>
      <c r="K9" s="34"/>
      <c r="L9" s="34"/>
      <c r="M9" s="34"/>
      <c r="N9" s="34"/>
      <c r="O9" s="34"/>
      <c r="P9" s="34"/>
      <c r="Q9" s="34"/>
      <c r="R9" s="34"/>
      <c r="S9" s="34"/>
      <c r="T9" s="34"/>
      <c r="U9" s="34"/>
      <c r="V9" s="35"/>
    </row>
    <row r="10" spans="1:22" ht="15.5" thickTop="1" thickBot="1" x14ac:dyDescent="0.4">
      <c r="A10" s="71"/>
      <c r="C10" s="32" t="s">
        <v>127</v>
      </c>
      <c r="E10" t="s">
        <v>128</v>
      </c>
      <c r="F10" s="79"/>
      <c r="G10" s="79">
        <v>2</v>
      </c>
      <c r="H10" s="79">
        <v>2</v>
      </c>
      <c r="I10" s="79">
        <v>2</v>
      </c>
      <c r="J10" s="79"/>
      <c r="K10" s="79">
        <v>2</v>
      </c>
      <c r="L10" s="79">
        <v>2</v>
      </c>
      <c r="M10" s="79">
        <v>2</v>
      </c>
      <c r="V10" s="33"/>
    </row>
    <row r="11" spans="1:22" ht="15.5" thickTop="1" thickBot="1" x14ac:dyDescent="0.4">
      <c r="A11" s="71"/>
      <c r="C11" s="32" t="s">
        <v>179</v>
      </c>
      <c r="D11" t="s">
        <v>180</v>
      </c>
      <c r="E11" t="s">
        <v>181</v>
      </c>
      <c r="F11" s="83"/>
      <c r="G11" s="83">
        <f>60*fr/G10</f>
        <v>1500</v>
      </c>
      <c r="H11" s="83">
        <f>60*fr/H10</f>
        <v>1500</v>
      </c>
      <c r="I11" s="83">
        <f>60*fr/I10</f>
        <v>1500</v>
      </c>
      <c r="J11" s="83"/>
      <c r="K11" s="83">
        <f>60*fr/K10</f>
        <v>1500</v>
      </c>
      <c r="L11" s="83">
        <f>60*fr/L10</f>
        <v>1500</v>
      </c>
      <c r="M11" s="83">
        <f>60*fr/M10</f>
        <v>1500</v>
      </c>
      <c r="O11" s="38" t="s">
        <v>124</v>
      </c>
      <c r="P11" s="40" t="s">
        <v>125</v>
      </c>
      <c r="Q11" t="s">
        <v>126</v>
      </c>
      <c r="R11" s="27">
        <v>50</v>
      </c>
      <c r="V11" s="33"/>
    </row>
    <row r="12" spans="1:22" ht="15" thickTop="1" x14ac:dyDescent="0.35">
      <c r="A12" s="41"/>
      <c r="B12" s="42"/>
      <c r="C12" s="42"/>
      <c r="D12" s="42"/>
      <c r="E12" s="42"/>
      <c r="F12" s="42"/>
      <c r="G12" s="42"/>
      <c r="H12" s="42"/>
      <c r="I12" s="42"/>
      <c r="J12" s="42"/>
      <c r="K12" s="42"/>
      <c r="L12" s="42"/>
      <c r="M12" s="42"/>
      <c r="N12" s="42"/>
      <c r="O12" s="42"/>
      <c r="P12" s="42"/>
      <c r="Q12" s="42"/>
      <c r="R12" s="42"/>
      <c r="S12" s="42"/>
      <c r="T12" s="42"/>
      <c r="U12" s="42"/>
      <c r="V12" s="43"/>
    </row>
    <row r="13" spans="1:22" ht="19" thickBot="1" x14ac:dyDescent="0.5">
      <c r="A13" s="70"/>
      <c r="B13" s="133" t="s">
        <v>402</v>
      </c>
      <c r="C13" s="34"/>
      <c r="D13" s="34"/>
      <c r="E13" s="34"/>
      <c r="F13" s="34"/>
      <c r="G13" s="34"/>
      <c r="H13" s="34"/>
      <c r="I13" s="34"/>
      <c r="J13" s="34"/>
      <c r="K13" s="34"/>
      <c r="L13" s="34"/>
      <c r="M13" s="34"/>
      <c r="N13" s="34"/>
      <c r="O13" s="34"/>
      <c r="P13" s="34"/>
      <c r="Q13" s="34"/>
      <c r="R13" s="34"/>
      <c r="S13" s="34"/>
      <c r="T13" s="34"/>
      <c r="U13" s="34"/>
      <c r="V13" s="35"/>
    </row>
    <row r="14" spans="1:22" ht="15.5" thickTop="1" thickBot="1" x14ac:dyDescent="0.4">
      <c r="A14" s="71"/>
      <c r="C14" s="32" t="s">
        <v>262</v>
      </c>
      <c r="E14" t="s">
        <v>123</v>
      </c>
      <c r="F14" s="79"/>
      <c r="G14" s="79">
        <v>2</v>
      </c>
      <c r="H14" s="79">
        <v>2</v>
      </c>
      <c r="I14" s="79">
        <v>2</v>
      </c>
      <c r="J14" s="79"/>
      <c r="K14" s="79">
        <v>2</v>
      </c>
      <c r="L14" s="79">
        <v>2</v>
      </c>
      <c r="M14" s="79">
        <v>2</v>
      </c>
      <c r="V14" s="33"/>
    </row>
    <row r="15" spans="1:22" ht="15" thickTop="1" x14ac:dyDescent="0.35">
      <c r="A15" s="41"/>
      <c r="B15" s="42"/>
      <c r="C15" s="42"/>
      <c r="D15" s="42"/>
      <c r="E15" s="42"/>
      <c r="F15" s="42"/>
      <c r="G15" s="42"/>
      <c r="H15" s="42"/>
      <c r="I15" s="42"/>
      <c r="J15" s="42"/>
      <c r="K15" s="42"/>
      <c r="L15" s="42"/>
      <c r="M15" s="42"/>
      <c r="N15" s="42"/>
      <c r="O15" s="42"/>
      <c r="P15" s="42"/>
      <c r="Q15" s="42"/>
      <c r="R15" s="42"/>
      <c r="S15" s="42"/>
      <c r="T15" s="42"/>
      <c r="U15" s="42"/>
      <c r="V15" s="43"/>
    </row>
    <row r="16" spans="1:22" ht="19" thickBot="1" x14ac:dyDescent="0.5">
      <c r="A16" s="70"/>
      <c r="B16" s="133" t="s">
        <v>403</v>
      </c>
      <c r="C16" s="34"/>
      <c r="D16" s="34"/>
      <c r="E16" s="34"/>
      <c r="F16" s="34"/>
      <c r="G16" s="34"/>
      <c r="H16" s="34"/>
      <c r="I16" s="34"/>
      <c r="J16" s="34"/>
      <c r="K16" s="34"/>
      <c r="L16" s="34"/>
      <c r="M16" s="34"/>
      <c r="N16" s="34"/>
      <c r="O16" s="34"/>
      <c r="P16" s="34"/>
      <c r="Q16" s="34"/>
      <c r="R16" s="34"/>
      <c r="S16" s="34"/>
      <c r="T16" s="34"/>
      <c r="U16" s="34"/>
      <c r="V16" s="35"/>
    </row>
    <row r="17" spans="1:22" ht="15.5" thickTop="1" thickBot="1" x14ac:dyDescent="0.4">
      <c r="A17" s="71"/>
      <c r="C17" s="32" t="s">
        <v>182</v>
      </c>
      <c r="D17" t="s">
        <v>180</v>
      </c>
      <c r="E17" t="s">
        <v>183</v>
      </c>
      <c r="F17" s="83"/>
      <c r="G17" s="83">
        <f>G11/G14</f>
        <v>750</v>
      </c>
      <c r="H17" s="83">
        <f>H11/H14</f>
        <v>750</v>
      </c>
      <c r="I17" s="83">
        <f>I11/I14</f>
        <v>750</v>
      </c>
      <c r="J17" s="83"/>
      <c r="K17" s="83">
        <f>K11/K14</f>
        <v>750</v>
      </c>
      <c r="L17" s="83">
        <f>L11/L14</f>
        <v>750</v>
      </c>
      <c r="M17" s="83">
        <f>M11/M14</f>
        <v>750</v>
      </c>
      <c r="V17" s="33"/>
    </row>
    <row r="18" spans="1:22" ht="19.5" thickTop="1" thickBot="1" x14ac:dyDescent="0.5">
      <c r="A18" s="71"/>
      <c r="B18" s="23"/>
      <c r="C18" s="112" t="s">
        <v>184</v>
      </c>
      <c r="D18" s="23" t="s">
        <v>177</v>
      </c>
      <c r="E18" s="23" t="s">
        <v>185</v>
      </c>
      <c r="F18" s="110"/>
      <c r="G18" s="110">
        <f>eta*'5 Pipe'!H6*rho*g*'5 Pipe'!G70/1000</f>
        <v>47.171889345831218</v>
      </c>
      <c r="H18" s="110">
        <f>eta*'5 Pipe'!H6*rho*g*'5 Pipe'!H70/1000</f>
        <v>71.399869926760658</v>
      </c>
      <c r="I18" s="110">
        <f>eta*'5 Pipe'!H6*rho*g*'5 Pipe'!I70/1000</f>
        <v>93.057172302322869</v>
      </c>
      <c r="J18" s="110"/>
      <c r="K18" s="110">
        <f>eta*'5 Pipe'!L6*rho*g*'5 Pipe'!K70/1000</f>
        <v>57.117906644686272</v>
      </c>
      <c r="L18" s="110">
        <f>eta*'5 Pipe'!L6*rho*g*'5 Pipe'!L70/1000</f>
        <v>86.91406582708214</v>
      </c>
      <c r="M18" s="110">
        <f>eta*'5 Pipe'!L6*rho*g*'5 Pipe'!M70/1000</f>
        <v>111.79120738873127</v>
      </c>
      <c r="O18" s="38" t="s">
        <v>121</v>
      </c>
      <c r="Q18" t="s">
        <v>122</v>
      </c>
      <c r="R18" s="39">
        <v>0.85</v>
      </c>
      <c r="V18" s="33"/>
    </row>
    <row r="19" spans="1:22" ht="15" thickTop="1" x14ac:dyDescent="0.35">
      <c r="A19" s="41"/>
      <c r="B19" s="42"/>
      <c r="C19" s="124"/>
      <c r="D19" s="42"/>
      <c r="E19" s="42"/>
      <c r="F19" s="135"/>
      <c r="G19" s="135"/>
      <c r="H19" s="135"/>
      <c r="I19" s="135"/>
      <c r="J19" s="135"/>
      <c r="K19" s="135"/>
      <c r="L19" s="135"/>
      <c r="M19" s="135"/>
      <c r="N19" s="42"/>
      <c r="O19" s="42"/>
      <c r="P19" s="42"/>
      <c r="Q19" s="42"/>
      <c r="R19" s="42"/>
      <c r="S19" s="42"/>
      <c r="T19" s="42"/>
      <c r="U19" s="42"/>
      <c r="V19" s="43"/>
    </row>
    <row r="20" spans="1:22" ht="19" thickBot="1" x14ac:dyDescent="0.5">
      <c r="A20" s="70"/>
      <c r="B20" s="133" t="s">
        <v>404</v>
      </c>
      <c r="C20" s="34"/>
      <c r="D20" s="34"/>
      <c r="E20" s="34"/>
      <c r="F20" s="34"/>
      <c r="G20" s="34"/>
      <c r="H20" s="34"/>
      <c r="I20" s="34"/>
      <c r="J20" s="34"/>
      <c r="K20" s="111" t="s">
        <v>382</v>
      </c>
      <c r="L20" s="34"/>
      <c r="M20" s="34"/>
      <c r="N20" s="34"/>
      <c r="O20" s="34"/>
      <c r="P20" s="34"/>
      <c r="Q20" s="34"/>
      <c r="R20" s="34"/>
      <c r="S20" s="34"/>
      <c r="T20" s="34"/>
      <c r="U20" s="34"/>
      <c r="V20" s="35"/>
    </row>
    <row r="21" spans="1:22" ht="19.5" thickTop="1" thickBot="1" x14ac:dyDescent="0.5">
      <c r="A21" s="71"/>
      <c r="C21" s="109" t="s">
        <v>186</v>
      </c>
      <c r="D21" s="102"/>
      <c r="E21" s="102" t="s">
        <v>187</v>
      </c>
      <c r="F21" s="110"/>
      <c r="G21" s="110">
        <f>G17*(G18^(1/2))/(G5^(5/4))</f>
        <v>129.67534864044669</v>
      </c>
      <c r="H21" s="110">
        <f t="shared" ref="H21:M21" si="0">H17*(H18^(1/2))/(H5^(5/4))</f>
        <v>95.026954787577992</v>
      </c>
      <c r="I21" s="110">
        <f t="shared" si="0"/>
        <v>77.903593113005343</v>
      </c>
      <c r="J21" s="110"/>
      <c r="K21" s="110">
        <f t="shared" si="0"/>
        <v>147.82686177895647</v>
      </c>
      <c r="L21" s="110">
        <f t="shared" si="0"/>
        <v>107.89840358100217</v>
      </c>
      <c r="M21" s="110">
        <f t="shared" si="0"/>
        <v>89.336068065305639</v>
      </c>
      <c r="V21" s="33"/>
    </row>
    <row r="22" spans="1:22" ht="15" thickTop="1" x14ac:dyDescent="0.35">
      <c r="A22" s="71"/>
      <c r="B22" s="34"/>
      <c r="C22" s="34"/>
      <c r="D22" s="136" t="s">
        <v>268</v>
      </c>
      <c r="E22" s="34"/>
      <c r="V22" s="33"/>
    </row>
    <row r="23" spans="1:22" x14ac:dyDescent="0.35">
      <c r="A23" s="71"/>
      <c r="C23" s="32" t="s">
        <v>188</v>
      </c>
      <c r="D23" t="s">
        <v>189</v>
      </c>
      <c r="E23" s="33" t="s">
        <v>190</v>
      </c>
      <c r="V23" s="33"/>
    </row>
    <row r="24" spans="1:22" ht="15" thickBot="1" x14ac:dyDescent="0.4">
      <c r="A24" s="71"/>
      <c r="C24" s="58" t="s">
        <v>191</v>
      </c>
      <c r="D24" s="58" t="s">
        <v>269</v>
      </c>
      <c r="E24" s="58" t="s">
        <v>270</v>
      </c>
      <c r="V24" s="33"/>
    </row>
    <row r="25" spans="1:22" x14ac:dyDescent="0.35">
      <c r="A25" s="71"/>
      <c r="B25" s="38" t="s">
        <v>220</v>
      </c>
      <c r="C25" s="59">
        <v>10</v>
      </c>
      <c r="D25" s="59">
        <v>10</v>
      </c>
      <c r="E25" s="59">
        <v>35</v>
      </c>
      <c r="F25" s="11"/>
      <c r="G25" s="11"/>
      <c r="H25" s="11"/>
      <c r="I25" s="11"/>
      <c r="J25" s="11"/>
      <c r="K25" s="11"/>
      <c r="L25" s="11"/>
      <c r="M25" s="55"/>
      <c r="V25" s="33"/>
    </row>
    <row r="26" spans="1:22" x14ac:dyDescent="0.35">
      <c r="A26" s="71"/>
      <c r="B26" s="38" t="s">
        <v>221</v>
      </c>
      <c r="C26" s="60">
        <v>10</v>
      </c>
      <c r="D26" s="60">
        <v>14</v>
      </c>
      <c r="E26" s="60">
        <v>45</v>
      </c>
      <c r="F26" s="9"/>
      <c r="G26" s="9"/>
      <c r="H26" s="9"/>
      <c r="I26" s="9"/>
      <c r="J26" s="9"/>
      <c r="K26" s="9"/>
      <c r="L26" s="9"/>
      <c r="M26" s="56"/>
      <c r="V26" s="33"/>
    </row>
    <row r="27" spans="1:22" x14ac:dyDescent="0.35">
      <c r="A27" s="71"/>
      <c r="B27" s="38" t="s">
        <v>329</v>
      </c>
      <c r="C27" s="60">
        <v>10</v>
      </c>
      <c r="D27" s="60">
        <v>17</v>
      </c>
      <c r="E27" s="60">
        <v>60</v>
      </c>
      <c r="F27" s="9"/>
      <c r="G27" s="9"/>
      <c r="H27" s="9"/>
      <c r="I27" s="9"/>
      <c r="J27" s="9"/>
      <c r="K27" s="9"/>
      <c r="L27" s="9"/>
      <c r="M27" s="56"/>
      <c r="V27" s="33"/>
    </row>
    <row r="28" spans="1:22" x14ac:dyDescent="0.35">
      <c r="A28" s="71"/>
      <c r="B28" s="38" t="s">
        <v>222</v>
      </c>
      <c r="C28" s="60">
        <v>10</v>
      </c>
      <c r="D28" s="60">
        <v>20</v>
      </c>
      <c r="E28" s="60">
        <v>70</v>
      </c>
      <c r="F28" s="9"/>
      <c r="G28" s="9"/>
      <c r="H28" s="9"/>
      <c r="I28" s="9"/>
      <c r="J28" s="9"/>
      <c r="K28" s="9"/>
      <c r="L28" s="9"/>
      <c r="M28" s="56"/>
      <c r="V28" s="33"/>
    </row>
    <row r="29" spans="1:22" x14ac:dyDescent="0.35">
      <c r="A29" s="71"/>
      <c r="B29" s="38" t="s">
        <v>223</v>
      </c>
      <c r="C29" s="60">
        <v>20</v>
      </c>
      <c r="D29" s="60">
        <v>20</v>
      </c>
      <c r="E29" s="60">
        <v>80</v>
      </c>
      <c r="F29" s="9"/>
      <c r="G29" s="9"/>
      <c r="H29" s="9"/>
      <c r="I29" s="9"/>
      <c r="J29" s="9"/>
      <c r="K29" s="9"/>
      <c r="L29" s="9"/>
      <c r="M29" s="56"/>
      <c r="V29" s="33"/>
    </row>
    <row r="30" spans="1:22" x14ac:dyDescent="0.35">
      <c r="A30" s="71"/>
      <c r="B30" s="38" t="s">
        <v>224</v>
      </c>
      <c r="C30" s="60">
        <v>20</v>
      </c>
      <c r="D30" s="60">
        <v>28</v>
      </c>
      <c r="E30" s="60">
        <v>110</v>
      </c>
      <c r="F30" s="9"/>
      <c r="G30" s="9"/>
      <c r="H30" s="9"/>
      <c r="I30" s="9"/>
      <c r="J30" s="9"/>
      <c r="K30" s="9"/>
      <c r="L30" s="9"/>
      <c r="M30" s="56"/>
      <c r="V30" s="33"/>
    </row>
    <row r="31" spans="1:22" x14ac:dyDescent="0.35">
      <c r="A31" s="71"/>
      <c r="B31" s="38" t="s">
        <v>330</v>
      </c>
      <c r="C31" s="60">
        <v>20</v>
      </c>
      <c r="D31" s="60">
        <v>34</v>
      </c>
      <c r="E31" s="60">
        <v>140</v>
      </c>
      <c r="F31" s="9"/>
      <c r="G31" s="9"/>
      <c r="H31" s="9"/>
      <c r="I31" s="9"/>
      <c r="J31" s="9"/>
      <c r="K31" s="9"/>
      <c r="L31" s="9"/>
      <c r="M31" s="56"/>
      <c r="V31" s="33"/>
    </row>
    <row r="32" spans="1:22" x14ac:dyDescent="0.35">
      <c r="A32" s="71"/>
      <c r="B32" s="54" t="s">
        <v>225</v>
      </c>
      <c r="C32" s="60">
        <v>20</v>
      </c>
      <c r="D32" s="60">
        <v>40</v>
      </c>
      <c r="E32" s="60">
        <v>160</v>
      </c>
      <c r="F32" s="9"/>
      <c r="G32" s="9"/>
      <c r="H32" s="9"/>
      <c r="I32" s="9"/>
      <c r="J32" s="9"/>
      <c r="K32" s="9"/>
      <c r="L32" s="9"/>
      <c r="M32" s="56"/>
      <c r="V32" s="33"/>
    </row>
    <row r="33" spans="1:22" x14ac:dyDescent="0.35">
      <c r="A33" s="71"/>
      <c r="B33" s="54" t="s">
        <v>226</v>
      </c>
      <c r="C33" s="60">
        <v>20</v>
      </c>
      <c r="D33" s="60">
        <v>50</v>
      </c>
      <c r="E33" s="60">
        <v>200</v>
      </c>
      <c r="F33" s="9"/>
      <c r="G33" s="9"/>
      <c r="H33" s="9"/>
      <c r="I33" s="9"/>
      <c r="J33" s="9"/>
      <c r="K33" s="9"/>
      <c r="L33" s="9"/>
      <c r="M33" s="56"/>
      <c r="V33" s="33"/>
    </row>
    <row r="34" spans="1:22" x14ac:dyDescent="0.35">
      <c r="A34" s="71"/>
      <c r="B34" s="38" t="s">
        <v>227</v>
      </c>
      <c r="C34" s="60">
        <v>10</v>
      </c>
      <c r="D34" s="60">
        <v>35</v>
      </c>
      <c r="E34" s="60">
        <v>150</v>
      </c>
      <c r="F34" s="9"/>
      <c r="G34" s="9"/>
      <c r="H34" s="9"/>
      <c r="I34" s="9"/>
      <c r="J34" s="9"/>
      <c r="K34" s="9"/>
      <c r="L34" s="9"/>
      <c r="M34" s="56"/>
      <c r="V34" s="33"/>
    </row>
    <row r="35" spans="1:22" x14ac:dyDescent="0.35">
      <c r="A35" s="71"/>
      <c r="B35" s="38" t="s">
        <v>228</v>
      </c>
      <c r="C35" s="60">
        <v>200</v>
      </c>
      <c r="D35" s="60">
        <v>70</v>
      </c>
      <c r="E35" s="60">
        <v>500</v>
      </c>
      <c r="F35" s="9"/>
      <c r="G35" s="9"/>
      <c r="H35" s="9"/>
      <c r="I35" s="9"/>
      <c r="J35" s="9"/>
      <c r="K35" s="9"/>
      <c r="L35" s="9"/>
      <c r="M35" s="56"/>
      <c r="V35" s="33"/>
    </row>
    <row r="36" spans="1:22" x14ac:dyDescent="0.35">
      <c r="A36" s="71"/>
      <c r="B36" s="38" t="s">
        <v>229</v>
      </c>
      <c r="C36" s="60">
        <v>20</v>
      </c>
      <c r="D36" s="60">
        <v>600</v>
      </c>
      <c r="E36" s="60">
        <v>900</v>
      </c>
      <c r="F36" s="9"/>
      <c r="G36" s="9"/>
      <c r="H36" s="9"/>
      <c r="I36" s="9"/>
      <c r="J36" s="9"/>
      <c r="K36" s="9"/>
      <c r="L36" s="9"/>
      <c r="M36" s="56"/>
      <c r="V36" s="33"/>
    </row>
    <row r="37" spans="1:22" ht="15" thickBot="1" x14ac:dyDescent="0.4">
      <c r="A37" s="71"/>
      <c r="B37" s="53" t="s">
        <v>230</v>
      </c>
      <c r="C37" s="61">
        <v>200</v>
      </c>
      <c r="D37" s="61">
        <v>350</v>
      </c>
      <c r="E37" s="61">
        <v>1000</v>
      </c>
      <c r="F37" s="12"/>
      <c r="G37" s="12"/>
      <c r="H37" s="12"/>
      <c r="I37" s="12"/>
      <c r="J37" s="12"/>
      <c r="K37" s="12"/>
      <c r="L37" s="12"/>
      <c r="M37" s="57"/>
      <c r="V37" s="33"/>
    </row>
    <row r="38" spans="1:22" x14ac:dyDescent="0.35">
      <c r="A38" s="41"/>
      <c r="B38" s="42"/>
      <c r="C38" s="42"/>
      <c r="D38" s="42"/>
      <c r="E38" s="42"/>
      <c r="F38" s="42"/>
      <c r="G38" s="42"/>
      <c r="H38" s="42"/>
      <c r="I38" s="42"/>
      <c r="J38" s="42"/>
      <c r="K38" s="42"/>
      <c r="L38" s="42"/>
      <c r="M38" s="42"/>
      <c r="N38" s="42"/>
      <c r="O38" s="42"/>
      <c r="P38" s="42"/>
      <c r="Q38" s="42"/>
      <c r="R38" s="42"/>
      <c r="S38" s="42"/>
      <c r="T38" s="42"/>
      <c r="U38" s="42"/>
      <c r="V38" s="43"/>
    </row>
  </sheetData>
  <sheetProtection algorithmName="SHA-512" hashValue="z1x0oq2kK79nqHePsF3e5TjMf7u49fQD31oLEJWmNzuMqvS2NYpriHBYx4KqEAobUoHF0xkYEC2QStPF16yY2A==" saltValue="N+xXUTU9En2pcGyTYmrBGg==" spinCount="100000" sheet="1" objects="1" scenarios="1"/>
  <conditionalFormatting sqref="F25:M37">
    <cfRule type="cellIs" dxfId="0" priority="1" stopIfTrue="1" operator="equal">
      <formula>TRUE</formula>
    </cfRule>
  </conditionalFormatting>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_activity xmlns="861374fa-46ae-4859-acf9-337d9d35654b"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D62AFD750426FF4689ED6EEB53C2951A" ma:contentTypeVersion="17" ma:contentTypeDescription="Create a new document." ma:contentTypeScope="" ma:versionID="ba3cbff4f2db4d064627edc208bd586f">
  <xsd:schema xmlns:xsd="http://www.w3.org/2001/XMLSchema" xmlns:xs="http://www.w3.org/2001/XMLSchema" xmlns:p="http://schemas.microsoft.com/office/2006/metadata/properties" xmlns:ns3="861374fa-46ae-4859-acf9-337d9d35654b" xmlns:ns4="bcf48347-58aa-4d62-91d1-b7aa5d8fd5de" targetNamespace="http://schemas.microsoft.com/office/2006/metadata/properties" ma:root="true" ma:fieldsID="add0460d0281dc05913c3b8fd6d026a8" ns3:_="" ns4:_="">
    <xsd:import namespace="861374fa-46ae-4859-acf9-337d9d35654b"/>
    <xsd:import namespace="bcf48347-58aa-4d62-91d1-b7aa5d8fd5de"/>
    <xsd:element name="properties">
      <xsd:complexType>
        <xsd:sequence>
          <xsd:element name="documentManagement">
            <xsd:complexType>
              <xsd:all>
                <xsd:element ref="ns3:MediaServiceMetadata" minOccurs="0"/>
                <xsd:element ref="ns3:MediaServiceFastMetadata" minOccurs="0"/>
                <xsd:element ref="ns3:MediaServiceAutoKeyPoints" minOccurs="0"/>
                <xsd:element ref="ns3:MediaServiceKeyPoints" minOccurs="0"/>
                <xsd:element ref="ns3:MediaServiceAutoTags" minOccurs="0"/>
                <xsd:element ref="ns3:MediaServiceOCR" minOccurs="0"/>
                <xsd:element ref="ns3:MediaServiceGenerationTime" minOccurs="0"/>
                <xsd:element ref="ns3:MediaServiceEventHashCode" minOccurs="0"/>
                <xsd:element ref="ns3:MediaServiceDateTaken" minOccurs="0"/>
                <xsd:element ref="ns3:MediaServiceLocation" minOccurs="0"/>
                <xsd:element ref="ns4:SharedWithUsers" minOccurs="0"/>
                <xsd:element ref="ns4:SharedWithDetails" minOccurs="0"/>
                <xsd:element ref="ns4:SharingHintHash" minOccurs="0"/>
                <xsd:element ref="ns3:MediaLengthInSeconds" minOccurs="0"/>
                <xsd:element ref="ns3:_activity" minOccurs="0"/>
                <xsd:element ref="ns3:MediaServiceObjectDetectorVersions" minOccurs="0"/>
                <xsd:element ref="ns3:MediaServiceSystemTag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861374fa-46ae-4859-acf9-337d9d35654b"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2" nillable="true" ma:displayName="Tags" ma:internalName="MediaServiceAutoTags" ma:readOnly="true">
      <xsd:simpleType>
        <xsd:restriction base="dms:Text"/>
      </xsd:simpleType>
    </xsd:element>
    <xsd:element name="MediaServiceOCR" ma:index="13" nillable="true" ma:displayName="Extracted Text" ma:internalName="MediaServiceOCR" ma:readOnly="true">
      <xsd:simpleType>
        <xsd:restriction base="dms:Note">
          <xsd:maxLength value="255"/>
        </xsd:restriction>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DateTaken" ma:index="16" nillable="true" ma:displayName="MediaServiceDateTaken" ma:hidden="true" ma:internalName="MediaServiceDateTaken" ma:readOnly="true">
      <xsd:simpleType>
        <xsd:restriction base="dms:Text"/>
      </xsd:simpleType>
    </xsd:element>
    <xsd:element name="MediaServiceLocation" ma:index="17" nillable="true" ma:displayName="Location" ma:internalName="MediaServiceLocation" ma:readOnly="true">
      <xsd:simpleType>
        <xsd:restriction base="dms:Text"/>
      </xsd:simpleType>
    </xsd:element>
    <xsd:element name="MediaLengthInSeconds" ma:index="21" nillable="true" ma:displayName="Length (seconds)" ma:internalName="MediaLengthInSeconds" ma:readOnly="true">
      <xsd:simpleType>
        <xsd:restriction base="dms:Unknown"/>
      </xsd:simpleType>
    </xsd:element>
    <xsd:element name="_activity" ma:index="22" nillable="true" ma:displayName="_activity" ma:hidden="true" ma:internalName="_activity">
      <xsd:simpleType>
        <xsd:restriction base="dms:Note"/>
      </xsd:simpleType>
    </xsd:element>
    <xsd:element name="MediaServiceObjectDetectorVersions" ma:index="23" nillable="true" ma:displayName="MediaServiceObjectDetectorVersions" ma:description="" ma:hidden="true" ma:indexed="true" ma:internalName="MediaServiceObjectDetectorVersions" ma:readOnly="true">
      <xsd:simpleType>
        <xsd:restriction base="dms:Text"/>
      </xsd:simpleType>
    </xsd:element>
    <xsd:element name="MediaServiceSystemTags" ma:index="24" nillable="true" ma:displayName="MediaServiceSystemTags" ma:hidden="true" ma:internalName="MediaServiceSystemTag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bcf48347-58aa-4d62-91d1-b7aa5d8fd5de" elementFormDefault="qualified">
    <xsd:import namespace="http://schemas.microsoft.com/office/2006/documentManagement/types"/>
    <xsd:import namespace="http://schemas.microsoft.com/office/infopath/2007/PartnerControls"/>
    <xsd:element name="SharedWithUsers" ma:index="1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9" nillable="true" ma:displayName="Shared With Details" ma:internalName="SharedWithDetails" ma:readOnly="true">
      <xsd:simpleType>
        <xsd:restriction base="dms:Note">
          <xsd:maxLength value="255"/>
        </xsd:restriction>
      </xsd:simpleType>
    </xsd:element>
    <xsd:element name="SharingHintHash" ma:index="20" nillable="true" ma:displayName="Sharing Hint Hash"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7B1B594-FA97-416F-8B8B-8216F8EA3B7F}">
  <ds:schemaRefs>
    <ds:schemaRef ds:uri="http://schemas.microsoft.com/sharepoint/v3/contenttype/forms"/>
  </ds:schemaRefs>
</ds:datastoreItem>
</file>

<file path=customXml/itemProps2.xml><?xml version="1.0" encoding="utf-8"?>
<ds:datastoreItem xmlns:ds="http://schemas.openxmlformats.org/officeDocument/2006/customXml" ds:itemID="{36C8CABB-9F7B-4BFC-A8B8-1617C161C752}">
  <ds:schemaRefs>
    <ds:schemaRef ds:uri="http://www.w3.org/XML/1998/namespace"/>
    <ds:schemaRef ds:uri="http://purl.org/dc/elements/1.1/"/>
    <ds:schemaRef ds:uri="http://purl.org/dc/terms/"/>
    <ds:schemaRef ds:uri="861374fa-46ae-4859-acf9-337d9d35654b"/>
    <ds:schemaRef ds:uri="http://schemas.microsoft.com/office/2006/documentManagement/types"/>
    <ds:schemaRef ds:uri="http://schemas.microsoft.com/office/2006/metadata/properties"/>
    <ds:schemaRef ds:uri="bcf48347-58aa-4d62-91d1-b7aa5d8fd5de"/>
    <ds:schemaRef ds:uri="http://schemas.openxmlformats.org/package/2006/metadata/core-properties"/>
    <ds:schemaRef ds:uri="http://schemas.microsoft.com/office/infopath/2007/PartnerControls"/>
    <ds:schemaRef ds:uri="http://purl.org/dc/dcmitype/"/>
  </ds:schemaRefs>
</ds:datastoreItem>
</file>

<file path=customXml/itemProps3.xml><?xml version="1.0" encoding="utf-8"?>
<ds:datastoreItem xmlns:ds="http://schemas.openxmlformats.org/officeDocument/2006/customXml" ds:itemID="{AE3F1443-36E8-4824-BFBC-D8022A86EC9B}">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861374fa-46ae-4859-acf9-337d9d35654b"/>
    <ds:schemaRef ds:uri="bcf48347-58aa-4d62-91d1-b7aa5d8fd5d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161</vt:i4>
      </vt:variant>
    </vt:vector>
  </HeadingPairs>
  <TitlesOfParts>
    <vt:vector size="168" baseType="lpstr">
      <vt:lpstr>1 Gross Flow</vt:lpstr>
      <vt:lpstr>2 References</vt:lpstr>
      <vt:lpstr>2 Correlate</vt:lpstr>
      <vt:lpstr>3 Design Flow</vt:lpstr>
      <vt:lpstr>4 Gross Head</vt:lpstr>
      <vt:lpstr>5 Pipe</vt:lpstr>
      <vt:lpstr>6 Turbine</vt:lpstr>
      <vt:lpstr>Aa</vt:lpstr>
      <vt:lpstr>Area</vt:lpstr>
      <vt:lpstr>Atr</vt:lpstr>
      <vt:lpstr>b</vt:lpstr>
      <vt:lpstr>Bb</vt:lpstr>
      <vt:lpstr>bg</vt:lpstr>
      <vt:lpstr>'1 Gross Flow'!Catchment_Area</vt:lpstr>
      <vt:lpstr>'2 Correlate'!Catchment_Area</vt:lpstr>
      <vt:lpstr>'2 References'!Catchment_Area</vt:lpstr>
      <vt:lpstr>Catchment_AreaD</vt:lpstr>
      <vt:lpstr>Catchment_AreaK</vt:lpstr>
      <vt:lpstr>Cc</vt:lpstr>
      <vt:lpstr>comppercent</vt:lpstr>
      <vt:lpstr>conversion</vt:lpstr>
      <vt:lpstr>'1 Gross Flow'!correction</vt:lpstr>
      <vt:lpstr>'2 References'!correction</vt:lpstr>
      <vt:lpstr>d</vt:lpstr>
      <vt:lpstr>despercent</vt:lpstr>
      <vt:lpstr>Dp</vt:lpstr>
      <vt:lpstr>eps</vt:lpstr>
      <vt:lpstr>eps_Dp</vt:lpstr>
      <vt:lpstr>'1 Gross Flow'!eta</vt:lpstr>
      <vt:lpstr>'6 Turbine'!eta</vt:lpstr>
      <vt:lpstr>expercent</vt:lpstr>
      <vt:lpstr>'2 References'!expercentK</vt:lpstr>
      <vt:lpstr>fbr</vt:lpstr>
      <vt:lpstr>fgs</vt:lpstr>
      <vt:lpstr>fh</vt:lpstr>
      <vt:lpstr>'1 Gross Flow'!fr</vt:lpstr>
      <vt:lpstr>'6 Turbine'!fr</vt:lpstr>
      <vt:lpstr>fs</vt:lpstr>
      <vt:lpstr>fsj</vt:lpstr>
      <vt:lpstr>g</vt:lpstr>
      <vt:lpstr>gg</vt:lpstr>
      <vt:lpstr>'2 References'!Gross_mean_flow</vt:lpstr>
      <vt:lpstr>Gross_mean_flowD</vt:lpstr>
      <vt:lpstr>Gross_mean_flowK</vt:lpstr>
      <vt:lpstr>hb</vt:lpstr>
      <vt:lpstr>hd</vt:lpstr>
      <vt:lpstr>hf</vt:lpstr>
      <vt:lpstr>hgr</vt:lpstr>
      <vt:lpstr>hi</vt:lpstr>
      <vt:lpstr>hl</vt:lpstr>
      <vt:lpstr>hnet</vt:lpstr>
      <vt:lpstr>hs</vt:lpstr>
      <vt:lpstr>ht</vt:lpstr>
      <vt:lpstr>htr</vt:lpstr>
      <vt:lpstr>hturb</vt:lpstr>
      <vt:lpstr>hv</vt:lpstr>
      <vt:lpstr>icomp</vt:lpstr>
      <vt:lpstr>ides</vt:lpstr>
      <vt:lpstr>'1 Gross Flow'!ka</vt:lpstr>
      <vt:lpstr>'5 Pipe'!ka</vt:lpstr>
      <vt:lpstr>kabr</vt:lpstr>
      <vt:lpstr>Kb</vt:lpstr>
      <vt:lpstr>'1 Gross Flow'!kbb</vt:lpstr>
      <vt:lpstr>'5 Pipe'!kbb</vt:lpstr>
      <vt:lpstr>'1 Gross Flow'!kbbb</vt:lpstr>
      <vt:lpstr>'5 Pipe'!kbbb</vt:lpstr>
      <vt:lpstr>'1 Gross Flow'!kbbbb</vt:lpstr>
      <vt:lpstr>'5 Pipe'!kbbbb</vt:lpstr>
      <vt:lpstr>kbbr</vt:lpstr>
      <vt:lpstr>kcbr</vt:lpstr>
      <vt:lpstr>kdgs</vt:lpstr>
      <vt:lpstr>'1 Gross Flow'!ke</vt:lpstr>
      <vt:lpstr>'5 Pipe'!ke</vt:lpstr>
      <vt:lpstr>kee</vt:lpstr>
      <vt:lpstr>'1 Gross Flow'!kh</vt:lpstr>
      <vt:lpstr>'5 Pipe'!kh</vt:lpstr>
      <vt:lpstr>Ki</vt:lpstr>
      <vt:lpstr>'2 References'!kmg</vt:lpstr>
      <vt:lpstr>'2 References'!kmgD</vt:lpstr>
      <vt:lpstr>'2 References'!kmgK</vt:lpstr>
      <vt:lpstr>Ktr</vt:lpstr>
      <vt:lpstr>Kv</vt:lpstr>
      <vt:lpstr>Ll</vt:lpstr>
      <vt:lpstr>Lp</vt:lpstr>
      <vt:lpstr>Lpp</vt:lpstr>
      <vt:lpstr>'2 References'!Mean_Flow</vt:lpstr>
      <vt:lpstr>Mean_FlowD</vt:lpstr>
      <vt:lpstr>Mean_flowK</vt:lpstr>
      <vt:lpstr>mu</vt:lpstr>
      <vt:lpstr>nb</vt:lpstr>
      <vt:lpstr>'1 Gross Flow'!nl</vt:lpstr>
      <vt:lpstr>'6 Turbine'!nl</vt:lpstr>
      <vt:lpstr>np</vt:lpstr>
      <vt:lpstr>'1 Gross Flow'!Ns</vt:lpstr>
      <vt:lpstr>'6 Turbine'!Ns</vt:lpstr>
      <vt:lpstr>'1 Gross Flow'!Nsync</vt:lpstr>
      <vt:lpstr>'6 Turbine'!Nsync</vt:lpstr>
      <vt:lpstr>'1 Gross Flow'!Nt</vt:lpstr>
      <vt:lpstr>'6 Turbine'!Nt</vt:lpstr>
      <vt:lpstr>'1 Gross Flow'!nu</vt:lpstr>
      <vt:lpstr>'6 Turbine'!nu</vt:lpstr>
      <vt:lpstr>percentcomp</vt:lpstr>
      <vt:lpstr>'1 Gross Flow'!pg</vt:lpstr>
      <vt:lpstr>'6 Turbine'!pg</vt:lpstr>
      <vt:lpstr>Pgr</vt:lpstr>
      <vt:lpstr>'1 Gross Flow'!Pmin</vt:lpstr>
      <vt:lpstr>'6 Turbine'!Pmin</vt:lpstr>
      <vt:lpstr>'1 Gross Flow'!Prat</vt:lpstr>
      <vt:lpstr>'6 Turbine'!Prat</vt:lpstr>
      <vt:lpstr>'1 Gross Flow'!Ptotal</vt:lpstr>
      <vt:lpstr>'6 Turbine'!Ptotal</vt:lpstr>
      <vt:lpstr>Q</vt:lpstr>
      <vt:lpstr>'2 References'!Q.10</vt:lpstr>
      <vt:lpstr>'2 References'!Q.5</vt:lpstr>
      <vt:lpstr>'2 References'!Q.50</vt:lpstr>
      <vt:lpstr>'2 References'!Q.70</vt:lpstr>
      <vt:lpstr>'2 References'!Q.95</vt:lpstr>
      <vt:lpstr>Q05D</vt:lpstr>
      <vt:lpstr>Q05K</vt:lpstr>
      <vt:lpstr>Q10D</vt:lpstr>
      <vt:lpstr>Q10K</vt:lpstr>
      <vt:lpstr>Q50D</vt:lpstr>
      <vt:lpstr>Q50K</vt:lpstr>
      <vt:lpstr>Q70D</vt:lpstr>
      <vt:lpstr>Q70K</vt:lpstr>
      <vt:lpstr>Q95D</vt:lpstr>
      <vt:lpstr>Q95K</vt:lpstr>
      <vt:lpstr>Qcomp</vt:lpstr>
      <vt:lpstr>QcompD</vt:lpstr>
      <vt:lpstr>QcompK</vt:lpstr>
      <vt:lpstr>Qdes</vt:lpstr>
      <vt:lpstr>QdesD</vt:lpstr>
      <vt:lpstr>QdesK</vt:lpstr>
      <vt:lpstr>QexCd</vt:lpstr>
      <vt:lpstr>QexCk</vt:lpstr>
      <vt:lpstr>'2 References'!QexD</vt:lpstr>
      <vt:lpstr>'2 References'!QexK</vt:lpstr>
      <vt:lpstr>Qgr</vt:lpstr>
      <vt:lpstr>Qnet</vt:lpstr>
      <vt:lpstr>QnetD</vt:lpstr>
      <vt:lpstr>QnetK</vt:lpstr>
      <vt:lpstr>QpcmeanD</vt:lpstr>
      <vt:lpstr>QpcmeanK</vt:lpstr>
      <vt:lpstr>'2 References'!QpercentD</vt:lpstr>
      <vt:lpstr>'2 References'!QpercentK</vt:lpstr>
      <vt:lpstr>qq</vt:lpstr>
      <vt:lpstr>rainfall_intensity</vt:lpstr>
      <vt:lpstr>Re</vt:lpstr>
      <vt:lpstr>'1 Gross Flow'!rg</vt:lpstr>
      <vt:lpstr>'6 Turbine'!rg</vt:lpstr>
      <vt:lpstr>rho</vt:lpstr>
      <vt:lpstr>s</vt:lpstr>
      <vt:lpstr>SAARD</vt:lpstr>
      <vt:lpstr>SAARK</vt:lpstr>
      <vt:lpstr>square_count</vt:lpstr>
      <vt:lpstr>square_count_1300</vt:lpstr>
      <vt:lpstr>square_count_1500</vt:lpstr>
      <vt:lpstr>square_count_1700</vt:lpstr>
      <vt:lpstr>square_count_rainfall</vt:lpstr>
      <vt:lpstr>square_fill</vt:lpstr>
      <vt:lpstr>square_fill_rainfall</vt:lpstr>
      <vt:lpstr>square_rainfall</vt:lpstr>
      <vt:lpstr>tb</vt:lpstr>
      <vt:lpstr>thb</vt:lpstr>
      <vt:lpstr>thtr</vt:lpstr>
      <vt:lpstr>vp</vt:lpstr>
      <vt:lpstr>vtr</vt:lpstr>
      <vt:lpstr>z</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Julian Feuchtwang</dc:creator>
  <cp:lastModifiedBy>Liam Tang (Student)</cp:lastModifiedBy>
  <dcterms:created xsi:type="dcterms:W3CDTF">2021-11-11T22:09:38Z</dcterms:created>
  <dcterms:modified xsi:type="dcterms:W3CDTF">2024-02-02T18:11:11Z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0x010100D62AFD750426FF4689ED6EEB53C2951A</vt:lpwstr>
  </property>
</Properties>
</file>